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3 рік\сайт\"/>
    </mc:Choice>
  </mc:AlternateContent>
  <bookViews>
    <workbookView xWindow="0" yWindow="0" windowWidth="28800" windowHeight="12015"/>
  </bookViews>
  <sheets>
    <sheet name="2023" sheetId="22" r:id="rId1"/>
  </sheets>
  <definedNames>
    <definedName name="_xlnm.Print_Titles" localSheetId="0">'2023'!$3:$5</definedName>
    <definedName name="_xlnm.Print_Area" localSheetId="0">'2023'!$A$1:$W$111</definedName>
  </definedNames>
  <calcPr calcId="152511"/>
</workbook>
</file>

<file path=xl/calcChain.xml><?xml version="1.0" encoding="utf-8"?>
<calcChain xmlns="http://schemas.openxmlformats.org/spreadsheetml/2006/main">
  <c r="N62" i="22" l="1"/>
  <c r="M62" i="22" l="1"/>
  <c r="M74" i="22" s="1"/>
  <c r="Q61" i="22"/>
  <c r="Q57" i="22"/>
  <c r="Q56" i="22"/>
  <c r="Q55" i="22"/>
  <c r="F55" i="22" l="1"/>
  <c r="F56" i="22"/>
  <c r="F57" i="22"/>
  <c r="N73" i="22"/>
  <c r="M73" i="22"/>
  <c r="L73" i="22"/>
  <c r="K73" i="22"/>
  <c r="J73" i="22"/>
  <c r="I73" i="22"/>
  <c r="H73" i="22"/>
  <c r="G73" i="22"/>
  <c r="N71" i="22"/>
  <c r="M71" i="22"/>
  <c r="L71" i="22"/>
  <c r="K71" i="22"/>
  <c r="J71" i="22"/>
  <c r="I71" i="22"/>
  <c r="H71" i="22"/>
  <c r="G71" i="22"/>
  <c r="N70" i="22"/>
  <c r="M70" i="22"/>
  <c r="L70" i="22"/>
  <c r="K70" i="22"/>
  <c r="J70" i="22"/>
  <c r="I70" i="22"/>
  <c r="H70" i="22"/>
  <c r="G70" i="22"/>
  <c r="E67" i="22"/>
  <c r="F61" i="22"/>
  <c r="T61" i="22" s="1"/>
  <c r="V56" i="22" l="1"/>
  <c r="S56" i="22"/>
  <c r="O56" i="22"/>
  <c r="P56" i="22"/>
  <c r="T56" i="22"/>
  <c r="V55" i="22"/>
  <c r="S55" i="22"/>
  <c r="T55" i="22"/>
  <c r="O55" i="22"/>
  <c r="P55" i="22"/>
  <c r="R55" i="22"/>
  <c r="R56" i="22"/>
  <c r="V57" i="22"/>
  <c r="P57" i="22"/>
  <c r="S57" i="22"/>
  <c r="R57" i="22"/>
  <c r="T57" i="22"/>
  <c r="O57" i="22"/>
  <c r="R61" i="22"/>
  <c r="S61" i="22"/>
  <c r="V61" i="22"/>
  <c r="O61" i="22"/>
  <c r="P61" i="22"/>
  <c r="Q49" i="22"/>
  <c r="Q48" i="22"/>
  <c r="Q47" i="22"/>
  <c r="Q46" i="22"/>
  <c r="Q45" i="22"/>
  <c r="Q44" i="22"/>
  <c r="Q43" i="22"/>
  <c r="Q42" i="22"/>
  <c r="Q41" i="22"/>
  <c r="Q40" i="22"/>
  <c r="Q39" i="22"/>
  <c r="Q38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1" i="22"/>
  <c r="Q20" i="22"/>
  <c r="Q19" i="22"/>
  <c r="Q17" i="22"/>
  <c r="Q16" i="22"/>
  <c r="Q13" i="22"/>
  <c r="Q12" i="22"/>
  <c r="Q11" i="22"/>
  <c r="Q10" i="22"/>
  <c r="Q8" i="22"/>
  <c r="Q91" i="22"/>
  <c r="Q90" i="22"/>
  <c r="Q88" i="22"/>
  <c r="Q87" i="22"/>
  <c r="Q85" i="22"/>
  <c r="Q84" i="22"/>
  <c r="Q82" i="22"/>
  <c r="Q79" i="22"/>
  <c r="Q7" i="22"/>
  <c r="U71" i="22"/>
  <c r="L95" i="22" l="1"/>
  <c r="L94" i="22"/>
  <c r="L86" i="22"/>
  <c r="L78" i="22"/>
  <c r="L92" i="22" s="1"/>
  <c r="L97" i="22" s="1"/>
  <c r="L105" i="22"/>
  <c r="L103" i="22"/>
  <c r="L102" i="22"/>
  <c r="L62" i="22"/>
  <c r="L74" i="22" s="1"/>
  <c r="L72" i="22" s="1"/>
  <c r="L37" i="22"/>
  <c r="L22" i="22"/>
  <c r="L18" i="22"/>
  <c r="L15" i="22"/>
  <c r="L14" i="22" s="1"/>
  <c r="L9" i="22"/>
  <c r="L50" i="22" l="1"/>
  <c r="L106" i="22"/>
  <c r="L104" i="22" s="1"/>
  <c r="L101" i="22" s="1"/>
  <c r="L68" i="22"/>
  <c r="N86" i="22"/>
  <c r="U86" i="22"/>
  <c r="L99" i="22" l="1"/>
  <c r="L76" i="22"/>
  <c r="L108" i="22"/>
  <c r="N74" i="22"/>
  <c r="N72" i="22" s="1"/>
  <c r="M72" i="22"/>
  <c r="E89" i="22" l="1"/>
  <c r="Q89" i="22" s="1"/>
  <c r="Q67" i="22"/>
  <c r="E62" i="22"/>
  <c r="E74" i="22" s="1"/>
  <c r="D62" i="22"/>
  <c r="F67" i="22"/>
  <c r="R67" i="22" s="1"/>
  <c r="U18" i="22"/>
  <c r="S67" i="22" l="1"/>
  <c r="P67" i="22"/>
  <c r="O67" i="22"/>
  <c r="V67" i="22"/>
  <c r="T67" i="22"/>
  <c r="Q86" i="22" l="1"/>
  <c r="K95" i="22"/>
  <c r="K94" i="22" s="1"/>
  <c r="K86" i="22"/>
  <c r="K78" i="22"/>
  <c r="K92" i="22" s="1"/>
  <c r="K103" i="22"/>
  <c r="K102" i="22"/>
  <c r="K62" i="22"/>
  <c r="K74" i="22" s="1"/>
  <c r="K72" i="22" s="1"/>
  <c r="K37" i="22"/>
  <c r="K22" i="22"/>
  <c r="K18" i="22"/>
  <c r="K15" i="22"/>
  <c r="K9" i="22"/>
  <c r="K106" i="22" l="1"/>
  <c r="K68" i="22"/>
  <c r="K14" i="22"/>
  <c r="K105" i="22"/>
  <c r="K104" i="22" s="1"/>
  <c r="K101" i="22" s="1"/>
  <c r="K50" i="22"/>
  <c r="K76" i="22" s="1"/>
  <c r="K97" i="22"/>
  <c r="D15" i="22"/>
  <c r="U15" i="22"/>
  <c r="U14" i="22" s="1"/>
  <c r="N15" i="22"/>
  <c r="M15" i="22"/>
  <c r="J15" i="22"/>
  <c r="I15" i="22"/>
  <c r="H15" i="22"/>
  <c r="G15" i="22"/>
  <c r="E15" i="22"/>
  <c r="Q15" i="22" s="1"/>
  <c r="K99" i="22" l="1"/>
  <c r="K108" i="22" s="1"/>
  <c r="F15" i="22"/>
  <c r="W15" i="22" s="1"/>
  <c r="S15" i="22" l="1"/>
  <c r="V15" i="22"/>
  <c r="O15" i="22"/>
  <c r="P15" i="22"/>
  <c r="T15" i="22"/>
  <c r="R15" i="22"/>
  <c r="F54" i="22" l="1"/>
  <c r="W54" i="22" s="1"/>
  <c r="Q53" i="22"/>
  <c r="Q54" i="22"/>
  <c r="E71" i="22"/>
  <c r="Q71" i="22" l="1"/>
  <c r="V54" i="22"/>
  <c r="S54" i="22"/>
  <c r="T54" i="22"/>
  <c r="P54" i="22"/>
  <c r="O54" i="22"/>
  <c r="R54" i="22"/>
  <c r="J103" i="22"/>
  <c r="J95" i="22"/>
  <c r="J94" i="22"/>
  <c r="J86" i="22"/>
  <c r="J78" i="22"/>
  <c r="J92" i="22" s="1"/>
  <c r="J97" i="22" s="1"/>
  <c r="J102" i="22"/>
  <c r="J62" i="22"/>
  <c r="J37" i="22"/>
  <c r="J22" i="22"/>
  <c r="J18" i="22"/>
  <c r="J14" i="22" s="1"/>
  <c r="J9" i="22"/>
  <c r="J74" i="22" l="1"/>
  <c r="J72" i="22" s="1"/>
  <c r="J105" i="22"/>
  <c r="J50" i="22"/>
  <c r="J68" i="22"/>
  <c r="J106" i="22" l="1"/>
  <c r="J104" i="22" s="1"/>
  <c r="J101" i="22" s="1"/>
  <c r="J76" i="22"/>
  <c r="J99" i="22"/>
  <c r="I103" i="22"/>
  <c r="I95" i="22"/>
  <c r="I94" i="22" s="1"/>
  <c r="I86" i="22"/>
  <c r="I78" i="22"/>
  <c r="I92" i="22" s="1"/>
  <c r="I102" i="22"/>
  <c r="I62" i="22"/>
  <c r="I37" i="22"/>
  <c r="I22" i="22"/>
  <c r="I18" i="22"/>
  <c r="I14" i="22" s="1"/>
  <c r="I9" i="22"/>
  <c r="I74" i="22" l="1"/>
  <c r="I72" i="22" s="1"/>
  <c r="J108" i="22"/>
  <c r="I97" i="22"/>
  <c r="I68" i="22"/>
  <c r="I105" i="22"/>
  <c r="I50" i="22"/>
  <c r="F7" i="22"/>
  <c r="R7" i="22" s="1"/>
  <c r="Z7" i="22"/>
  <c r="AA7" i="22"/>
  <c r="A8" i="22"/>
  <c r="F8" i="22"/>
  <c r="R8" i="22" s="1"/>
  <c r="Z8" i="22"/>
  <c r="AA8" i="22" s="1"/>
  <c r="D9" i="22"/>
  <c r="E9" i="22"/>
  <c r="Q9" i="22" s="1"/>
  <c r="G9" i="22"/>
  <c r="H9" i="22"/>
  <c r="M9" i="22"/>
  <c r="N9" i="22"/>
  <c r="U9" i="22"/>
  <c r="F10" i="22"/>
  <c r="O10" i="22" s="1"/>
  <c r="F11" i="22"/>
  <c r="F12" i="22"/>
  <c r="P12" i="22" s="1"/>
  <c r="F13" i="22"/>
  <c r="S13" i="22" s="1"/>
  <c r="F16" i="22"/>
  <c r="R16" i="22" s="1"/>
  <c r="X16" i="22"/>
  <c r="F17" i="22"/>
  <c r="S17" i="22" s="1"/>
  <c r="D18" i="22"/>
  <c r="D14" i="22" s="1"/>
  <c r="E18" i="22"/>
  <c r="Q18" i="22" s="1"/>
  <c r="G18" i="22"/>
  <c r="G14" i="22" s="1"/>
  <c r="H18" i="22"/>
  <c r="H14" i="22" s="1"/>
  <c r="M18" i="22"/>
  <c r="M14" i="22" s="1"/>
  <c r="N18" i="22"/>
  <c r="N14" i="22" s="1"/>
  <c r="F19" i="22"/>
  <c r="F20" i="22"/>
  <c r="T20" i="22" s="1"/>
  <c r="F21" i="22"/>
  <c r="O21" i="22" s="1"/>
  <c r="D22" i="22"/>
  <c r="E22" i="22"/>
  <c r="Q22" i="22" s="1"/>
  <c r="G22" i="22"/>
  <c r="H22" i="22"/>
  <c r="M22" i="22"/>
  <c r="N22" i="22"/>
  <c r="U22" i="22"/>
  <c r="X22" i="22"/>
  <c r="F23" i="22"/>
  <c r="O23" i="22" s="1"/>
  <c r="F24" i="22"/>
  <c r="R24" i="22" s="1"/>
  <c r="F25" i="22"/>
  <c r="O25" i="22" s="1"/>
  <c r="F26" i="22"/>
  <c r="P26" i="22" s="1"/>
  <c r="F27" i="22"/>
  <c r="R27" i="22" s="1"/>
  <c r="F28" i="22"/>
  <c r="T28" i="22" s="1"/>
  <c r="A29" i="22"/>
  <c r="A30" i="22" s="1"/>
  <c r="A31" i="22" s="1"/>
  <c r="A32" i="22" s="1"/>
  <c r="A33" i="22" s="1"/>
  <c r="A34" i="22" s="1"/>
  <c r="F29" i="22"/>
  <c r="P29" i="22" s="1"/>
  <c r="F30" i="22"/>
  <c r="R30" i="22" s="1"/>
  <c r="F31" i="22"/>
  <c r="O31" i="22" s="1"/>
  <c r="F32" i="22"/>
  <c r="R32" i="22" s="1"/>
  <c r="F33" i="22"/>
  <c r="S33" i="22" s="1"/>
  <c r="F34" i="22"/>
  <c r="O34" i="22" s="1"/>
  <c r="F36" i="22"/>
  <c r="T36" i="22" s="1"/>
  <c r="D37" i="22"/>
  <c r="E37" i="22"/>
  <c r="Q37" i="22" s="1"/>
  <c r="G37" i="22"/>
  <c r="H37" i="22"/>
  <c r="M37" i="22"/>
  <c r="N37" i="22"/>
  <c r="U37" i="22"/>
  <c r="F38" i="22"/>
  <c r="O38" i="22" s="1"/>
  <c r="F39" i="22"/>
  <c r="W39" i="22" s="1"/>
  <c r="X39" i="22" s="1"/>
  <c r="F40" i="22"/>
  <c r="V40" i="22" s="1"/>
  <c r="F41" i="22"/>
  <c r="O41" i="22" s="1"/>
  <c r="F42" i="22"/>
  <c r="S42" i="22" s="1"/>
  <c r="A43" i="22"/>
  <c r="A44" i="22" s="1"/>
  <c r="A45" i="22" s="1"/>
  <c r="A46" i="22" s="1"/>
  <c r="A47" i="22" s="1"/>
  <c r="A48" i="22" s="1"/>
  <c r="A49" i="22" s="1"/>
  <c r="F43" i="22"/>
  <c r="W43" i="22" s="1"/>
  <c r="X43" i="22" s="1"/>
  <c r="F44" i="22"/>
  <c r="F45" i="22"/>
  <c r="V45" i="22" s="1"/>
  <c r="F46" i="22"/>
  <c r="O46" i="22" s="1"/>
  <c r="F47" i="22"/>
  <c r="S47" i="22" s="1"/>
  <c r="F48" i="22"/>
  <c r="F49" i="22"/>
  <c r="T49" i="22" s="1"/>
  <c r="AB50" i="22"/>
  <c r="F51" i="22"/>
  <c r="Q51" i="22"/>
  <c r="A52" i="22"/>
  <c r="A53" i="22" s="1"/>
  <c r="F52" i="22"/>
  <c r="P52" i="22" s="1"/>
  <c r="Q52" i="22"/>
  <c r="Q73" i="22" s="1"/>
  <c r="F53" i="22"/>
  <c r="Q103" i="22"/>
  <c r="F58" i="22"/>
  <c r="O58" i="22" s="1"/>
  <c r="Q58" i="22"/>
  <c r="F59" i="22"/>
  <c r="Q59" i="22"/>
  <c r="F60" i="22"/>
  <c r="T60" i="22" s="1"/>
  <c r="Q60" i="22"/>
  <c r="D74" i="22"/>
  <c r="D106" i="22" s="1"/>
  <c r="E106" i="22"/>
  <c r="G62" i="22"/>
  <c r="G74" i="22" s="1"/>
  <c r="G72" i="22" s="1"/>
  <c r="H62" i="22"/>
  <c r="N106" i="22"/>
  <c r="U62" i="22"/>
  <c r="U74" i="22" s="1"/>
  <c r="U106" i="22" s="1"/>
  <c r="F63" i="22"/>
  <c r="Q63" i="22"/>
  <c r="F64" i="22"/>
  <c r="V64" i="22" s="1"/>
  <c r="Q64" i="22"/>
  <c r="F65" i="22"/>
  <c r="Q65" i="22"/>
  <c r="F66" i="22"/>
  <c r="W66" i="22" s="1"/>
  <c r="Q66" i="22"/>
  <c r="D70" i="22"/>
  <c r="D102" i="22" s="1"/>
  <c r="E70" i="22"/>
  <c r="E102" i="22" s="1"/>
  <c r="G102" i="22"/>
  <c r="H102" i="22"/>
  <c r="M102" i="22"/>
  <c r="N102" i="22"/>
  <c r="D71" i="22"/>
  <c r="D103" i="22" s="1"/>
  <c r="H103" i="22"/>
  <c r="M103" i="22"/>
  <c r="N103" i="22"/>
  <c r="U103" i="22"/>
  <c r="D73" i="22"/>
  <c r="E73" i="22"/>
  <c r="U73" i="22"/>
  <c r="D78" i="22"/>
  <c r="D92" i="22" s="1"/>
  <c r="G78" i="22"/>
  <c r="H78" i="22"/>
  <c r="H92" i="22" s="1"/>
  <c r="M78" i="22"/>
  <c r="M92" i="22" s="1"/>
  <c r="N78" i="22"/>
  <c r="N92" i="22" s="1"/>
  <c r="U78" i="22"/>
  <c r="U92" i="22" s="1"/>
  <c r="F79" i="22"/>
  <c r="O79" i="22" s="1"/>
  <c r="Q78" i="22"/>
  <c r="F80" i="22"/>
  <c r="O80" i="22" s="1"/>
  <c r="F81" i="22"/>
  <c r="V81" i="22" s="1"/>
  <c r="F82" i="22"/>
  <c r="R82" i="22" s="1"/>
  <c r="F83" i="22"/>
  <c r="O83" i="22" s="1"/>
  <c r="F84" i="22"/>
  <c r="V84" i="22" s="1"/>
  <c r="A85" i="22"/>
  <c r="A86" i="22" s="1"/>
  <c r="F85" i="22"/>
  <c r="S85" i="22" s="1"/>
  <c r="D86" i="22"/>
  <c r="E86" i="22"/>
  <c r="G86" i="22"/>
  <c r="H86" i="22"/>
  <c r="M86" i="22"/>
  <c r="F87" i="22"/>
  <c r="R87" i="22" s="1"/>
  <c r="F88" i="22"/>
  <c r="F89" i="22"/>
  <c r="F90" i="22"/>
  <c r="T90" i="22" s="1"/>
  <c r="F91" i="22"/>
  <c r="O91" i="22" s="1"/>
  <c r="F93" i="22"/>
  <c r="P93" i="22" s="1"/>
  <c r="Q93" i="22"/>
  <c r="Q95" i="22" s="1"/>
  <c r="Q94" i="22" s="1"/>
  <c r="D95" i="22"/>
  <c r="D94" i="22" s="1"/>
  <c r="E95" i="22"/>
  <c r="E94" i="22" s="1"/>
  <c r="G95" i="22"/>
  <c r="G94" i="22" s="1"/>
  <c r="H95" i="22"/>
  <c r="H94" i="22" s="1"/>
  <c r="M95" i="22"/>
  <c r="M94" i="22" s="1"/>
  <c r="N95" i="22"/>
  <c r="N94" i="22" s="1"/>
  <c r="U95" i="22"/>
  <c r="U94" i="22" s="1"/>
  <c r="F96" i="22"/>
  <c r="O96" i="22" s="1"/>
  <c r="U102" i="22"/>
  <c r="F35" i="22"/>
  <c r="M50" i="22" l="1"/>
  <c r="V44" i="22"/>
  <c r="W44" i="22"/>
  <c r="H74" i="22"/>
  <c r="H72" i="22" s="1"/>
  <c r="I76" i="22"/>
  <c r="I106" i="22"/>
  <c r="I104" i="22" s="1"/>
  <c r="I101" i="22" s="1"/>
  <c r="Q70" i="22"/>
  <c r="Q102" i="22" s="1"/>
  <c r="N50" i="22"/>
  <c r="N99" i="22" s="1"/>
  <c r="D105" i="22"/>
  <c r="T35" i="22"/>
  <c r="P35" i="22"/>
  <c r="S35" i="22"/>
  <c r="G105" i="22"/>
  <c r="O88" i="22"/>
  <c r="S88" i="22"/>
  <c r="T88" i="22"/>
  <c r="P88" i="22"/>
  <c r="R51" i="22"/>
  <c r="A54" i="22"/>
  <c r="A55" i="22" s="1"/>
  <c r="A56" i="22" s="1"/>
  <c r="A57" i="22" s="1"/>
  <c r="A58" i="22" s="1"/>
  <c r="A59" i="22" s="1"/>
  <c r="A60" i="22" s="1"/>
  <c r="A61" i="22" s="1"/>
  <c r="A62" i="22" s="1"/>
  <c r="S19" i="22"/>
  <c r="W19" i="22"/>
  <c r="O89" i="22"/>
  <c r="P89" i="22"/>
  <c r="W89" i="22"/>
  <c r="O49" i="22"/>
  <c r="E14" i="22"/>
  <c r="Q14" i="22" s="1"/>
  <c r="Q50" i="22" s="1"/>
  <c r="R65" i="22"/>
  <c r="W65" i="22"/>
  <c r="S11" i="22"/>
  <c r="P11" i="22"/>
  <c r="R53" i="22"/>
  <c r="V53" i="22"/>
  <c r="Q62" i="22"/>
  <c r="O44" i="22"/>
  <c r="O30" i="22"/>
  <c r="O29" i="22"/>
  <c r="Z27" i="22"/>
  <c r="R11" i="22"/>
  <c r="O11" i="22"/>
  <c r="O13" i="22"/>
  <c r="O8" i="22"/>
  <c r="O39" i="22"/>
  <c r="O33" i="22"/>
  <c r="U50" i="22"/>
  <c r="Z48" i="22" s="1"/>
  <c r="P40" i="22"/>
  <c r="P43" i="22"/>
  <c r="O40" i="22"/>
  <c r="O36" i="22"/>
  <c r="R85" i="22"/>
  <c r="W90" i="22"/>
  <c r="O90" i="22"/>
  <c r="O84" i="22"/>
  <c r="P30" i="22"/>
  <c r="I99" i="22"/>
  <c r="H50" i="22"/>
  <c r="R66" i="22"/>
  <c r="R59" i="22"/>
  <c r="S58" i="22"/>
  <c r="M105" i="22"/>
  <c r="O66" i="22"/>
  <c r="P60" i="22"/>
  <c r="T34" i="22"/>
  <c r="V33" i="22"/>
  <c r="O32" i="22"/>
  <c r="V31" i="22"/>
  <c r="W27" i="22"/>
  <c r="V27" i="22"/>
  <c r="S27" i="22"/>
  <c r="P27" i="22"/>
  <c r="O27" i="22"/>
  <c r="O26" i="22"/>
  <c r="P24" i="22"/>
  <c r="O24" i="22"/>
  <c r="F18" i="22"/>
  <c r="S18" i="22" s="1"/>
  <c r="O19" i="22"/>
  <c r="F9" i="22"/>
  <c r="T9" i="22" s="1"/>
  <c r="W11" i="22"/>
  <c r="P7" i="22"/>
  <c r="Y62" i="22"/>
  <c r="U72" i="22"/>
  <c r="U68" i="22" s="1"/>
  <c r="R81" i="22"/>
  <c r="P66" i="22"/>
  <c r="O64" i="22"/>
  <c r="W58" i="22"/>
  <c r="O52" i="22"/>
  <c r="T29" i="22"/>
  <c r="W33" i="22"/>
  <c r="P32" i="22"/>
  <c r="V30" i="22"/>
  <c r="F22" i="22"/>
  <c r="S22" i="22" s="1"/>
  <c r="W17" i="22"/>
  <c r="V17" i="22"/>
  <c r="V16" i="22"/>
  <c r="P17" i="22"/>
  <c r="P16" i="22"/>
  <c r="O17" i="22"/>
  <c r="O16" i="22"/>
  <c r="V12" i="22"/>
  <c r="W13" i="22"/>
  <c r="V13" i="22"/>
  <c r="O12" i="22"/>
  <c r="P8" i="22"/>
  <c r="O7" i="22"/>
  <c r="W8" i="22"/>
  <c r="T8" i="22"/>
  <c r="O82" i="22"/>
  <c r="W20" i="22"/>
  <c r="V19" i="22"/>
  <c r="T33" i="22"/>
  <c r="V20" i="22"/>
  <c r="T19" i="22"/>
  <c r="T13" i="22"/>
  <c r="W7" i="22"/>
  <c r="R33" i="22"/>
  <c r="W32" i="22"/>
  <c r="X32" i="22" s="1"/>
  <c r="V21" i="22"/>
  <c r="R19" i="22"/>
  <c r="R13" i="22"/>
  <c r="V7" i="22"/>
  <c r="V66" i="22"/>
  <c r="V32" i="22"/>
  <c r="T27" i="22"/>
  <c r="V26" i="22"/>
  <c r="W24" i="22"/>
  <c r="R21" i="22"/>
  <c r="P20" i="22"/>
  <c r="T17" i="22"/>
  <c r="T7" i="22"/>
  <c r="T66" i="22"/>
  <c r="P33" i="22"/>
  <c r="V29" i="22"/>
  <c r="V24" i="22"/>
  <c r="O20" i="22"/>
  <c r="P19" i="22"/>
  <c r="R17" i="22"/>
  <c r="W16" i="22"/>
  <c r="P13" i="22"/>
  <c r="V8" i="22"/>
  <c r="F71" i="22"/>
  <c r="D50" i="22"/>
  <c r="D99" i="22" s="1"/>
  <c r="T25" i="22"/>
  <c r="T10" i="22"/>
  <c r="T31" i="22"/>
  <c r="S25" i="22"/>
  <c r="T12" i="22"/>
  <c r="S10" i="22"/>
  <c r="S31" i="22"/>
  <c r="S29" i="22"/>
  <c r="S26" i="22"/>
  <c r="R25" i="22"/>
  <c r="R23" i="22"/>
  <c r="R10" i="22"/>
  <c r="R26" i="22"/>
  <c r="T24" i="22"/>
  <c r="S20" i="22"/>
  <c r="W34" i="22"/>
  <c r="P34" i="22"/>
  <c r="S32" i="22"/>
  <c r="S30" i="22"/>
  <c r="W28" i="22"/>
  <c r="X28" i="22" s="1"/>
  <c r="P28" i="22"/>
  <c r="W25" i="22"/>
  <c r="X25" i="22" s="1"/>
  <c r="P25" i="22"/>
  <c r="S24" i="22"/>
  <c r="W23" i="22"/>
  <c r="P23" i="22"/>
  <c r="R20" i="22"/>
  <c r="S16" i="22"/>
  <c r="F14" i="22"/>
  <c r="T11" i="22"/>
  <c r="W10" i="22"/>
  <c r="P10" i="22"/>
  <c r="S8" i="22"/>
  <c r="S7" i="22"/>
  <c r="T23" i="22"/>
  <c r="S34" i="22"/>
  <c r="S28" i="22"/>
  <c r="T26" i="22"/>
  <c r="S23" i="22"/>
  <c r="Y22" i="22"/>
  <c r="R34" i="22"/>
  <c r="R28" i="22"/>
  <c r="Z25" i="22"/>
  <c r="S12" i="22"/>
  <c r="T32" i="22"/>
  <c r="R31" i="22"/>
  <c r="T30" i="22"/>
  <c r="R29" i="22"/>
  <c r="T16" i="22"/>
  <c r="R12" i="22"/>
  <c r="V11" i="22"/>
  <c r="V34" i="22"/>
  <c r="W31" i="22"/>
  <c r="W29" i="22"/>
  <c r="V28" i="22"/>
  <c r="O28" i="22"/>
  <c r="W26" i="22"/>
  <c r="V25" i="22"/>
  <c r="V23" i="22"/>
  <c r="Y16" i="22"/>
  <c r="W12" i="22"/>
  <c r="V10" i="22"/>
  <c r="V90" i="22"/>
  <c r="F78" i="22"/>
  <c r="V78" i="22" s="1"/>
  <c r="V58" i="22"/>
  <c r="V38" i="22"/>
  <c r="R90" i="22"/>
  <c r="S65" i="22"/>
  <c r="R49" i="22"/>
  <c r="S48" i="22"/>
  <c r="P47" i="22"/>
  <c r="V42" i="22"/>
  <c r="T40" i="22"/>
  <c r="P38" i="22"/>
  <c r="P90" i="22"/>
  <c r="O87" i="22"/>
  <c r="F86" i="22"/>
  <c r="T86" i="22" s="1"/>
  <c r="P82" i="22"/>
  <c r="P64" i="22"/>
  <c r="P58" i="22"/>
  <c r="O51" i="22"/>
  <c r="W47" i="22"/>
  <c r="O47" i="22"/>
  <c r="O45" i="22"/>
  <c r="R40" i="22"/>
  <c r="P39" i="22"/>
  <c r="P36" i="22"/>
  <c r="V47" i="22"/>
  <c r="T47" i="22"/>
  <c r="V87" i="22"/>
  <c r="W64" i="22"/>
  <c r="V49" i="22"/>
  <c r="R47" i="22"/>
  <c r="W36" i="22"/>
  <c r="O81" i="22"/>
  <c r="S79" i="22"/>
  <c r="T64" i="22"/>
  <c r="S63" i="22"/>
  <c r="O60" i="22"/>
  <c r="T58" i="22"/>
  <c r="O53" i="22"/>
  <c r="S49" i="22"/>
  <c r="O48" i="22"/>
  <c r="W40" i="22"/>
  <c r="T39" i="22"/>
  <c r="D97" i="22"/>
  <c r="E72" i="22"/>
  <c r="E68" i="22" s="1"/>
  <c r="G92" i="22"/>
  <c r="V79" i="22"/>
  <c r="S59" i="22"/>
  <c r="V51" i="22"/>
  <c r="W82" i="22"/>
  <c r="R93" i="22"/>
  <c r="T45" i="22"/>
  <c r="T44" i="22"/>
  <c r="S43" i="22"/>
  <c r="R58" i="22"/>
  <c r="R45" i="22"/>
  <c r="S44" i="22"/>
  <c r="V43" i="22"/>
  <c r="P42" i="22"/>
  <c r="R38" i="22"/>
  <c r="G103" i="22"/>
  <c r="F103" i="22" s="1"/>
  <c r="R88" i="22"/>
  <c r="P79" i="22"/>
  <c r="R63" i="22"/>
  <c r="M68" i="22"/>
  <c r="P51" i="22"/>
  <c r="S46" i="22"/>
  <c r="P45" i="22"/>
  <c r="T43" i="22"/>
  <c r="W42" i="22"/>
  <c r="O42" i="22"/>
  <c r="W38" i="22"/>
  <c r="X38" i="22" s="1"/>
  <c r="T42" i="22"/>
  <c r="R35" i="22"/>
  <c r="O93" i="22"/>
  <c r="R89" i="22"/>
  <c r="W79" i="22"/>
  <c r="N68" i="22"/>
  <c r="F70" i="22"/>
  <c r="P70" i="22" s="1"/>
  <c r="O43" i="22"/>
  <c r="R42" i="22"/>
  <c r="F94" i="22"/>
  <c r="V94" i="22" s="1"/>
  <c r="V48" i="22"/>
  <c r="T38" i="22"/>
  <c r="U105" i="22"/>
  <c r="U104" i="22" s="1"/>
  <c r="U101" i="22" s="1"/>
  <c r="S41" i="22"/>
  <c r="S91" i="22"/>
  <c r="R79" i="22"/>
  <c r="R48" i="22"/>
  <c r="R43" i="22"/>
  <c r="D104" i="22"/>
  <c r="D101" i="22" s="1"/>
  <c r="M97" i="22"/>
  <c r="W88" i="22"/>
  <c r="V89" i="22"/>
  <c r="T89" i="22"/>
  <c r="V82" i="22"/>
  <c r="T51" i="22"/>
  <c r="F95" i="22"/>
  <c r="V95" i="22" s="1"/>
  <c r="S89" i="22"/>
  <c r="V88" i="22"/>
  <c r="T82" i="22"/>
  <c r="S51" i="22"/>
  <c r="T48" i="22"/>
  <c r="S38" i="22"/>
  <c r="O35" i="22"/>
  <c r="N105" i="22"/>
  <c r="N104" i="22" s="1"/>
  <c r="N101" i="22" s="1"/>
  <c r="Q92" i="22"/>
  <c r="T79" i="22"/>
  <c r="R64" i="22"/>
  <c r="S64" i="22"/>
  <c r="F62" i="22"/>
  <c r="F37" i="22"/>
  <c r="Q105" i="22"/>
  <c r="R96" i="22"/>
  <c r="V96" i="22"/>
  <c r="S52" i="22"/>
  <c r="R52" i="22"/>
  <c r="E105" i="22"/>
  <c r="E104" i="22" s="1"/>
  <c r="U97" i="22"/>
  <c r="H105" i="22"/>
  <c r="H68" i="22"/>
  <c r="O65" i="22"/>
  <c r="V65" i="22"/>
  <c r="P65" i="22"/>
  <c r="O63" i="22"/>
  <c r="V63" i="22"/>
  <c r="P63" i="22"/>
  <c r="W63" i="22"/>
  <c r="O59" i="22"/>
  <c r="V59" i="22"/>
  <c r="P59" i="22"/>
  <c r="W59" i="22"/>
  <c r="V52" i="22"/>
  <c r="R46" i="22"/>
  <c r="P46" i="22"/>
  <c r="W46" i="22"/>
  <c r="T41" i="22"/>
  <c r="S40" i="22"/>
  <c r="E103" i="22"/>
  <c r="F102" i="22"/>
  <c r="T93" i="22"/>
  <c r="T85" i="22"/>
  <c r="R80" i="22"/>
  <c r="V80" i="22"/>
  <c r="W80" i="22"/>
  <c r="D72" i="22"/>
  <c r="D68" i="22" s="1"/>
  <c r="S66" i="22"/>
  <c r="S60" i="22"/>
  <c r="R60" i="22"/>
  <c r="T52" i="22"/>
  <c r="V46" i="22"/>
  <c r="S39" i="22"/>
  <c r="R39" i="22"/>
  <c r="S36" i="22"/>
  <c r="R36" i="22"/>
  <c r="M106" i="22"/>
  <c r="S93" i="22"/>
  <c r="H97" i="22"/>
  <c r="S82" i="22"/>
  <c r="E78" i="22"/>
  <c r="F73" i="22"/>
  <c r="T65" i="22"/>
  <c r="T63" i="22"/>
  <c r="V60" i="22"/>
  <c r="T59" i="22"/>
  <c r="T46" i="22"/>
  <c r="S45" i="22"/>
  <c r="R44" i="22"/>
  <c r="P44" i="22"/>
  <c r="V39" i="22"/>
  <c r="V36" i="22"/>
  <c r="R91" i="22"/>
  <c r="P91" i="22"/>
  <c r="W91" i="22"/>
  <c r="R84" i="22"/>
  <c r="T84" i="22"/>
  <c r="S84" i="22"/>
  <c r="R41" i="22"/>
  <c r="P41" i="22"/>
  <c r="W41" i="22"/>
  <c r="N97" i="22"/>
  <c r="V91" i="22"/>
  <c r="O85" i="22"/>
  <c r="V85" i="22"/>
  <c r="P85" i="22"/>
  <c r="W85" i="22"/>
  <c r="W52" i="22"/>
  <c r="V41" i="22"/>
  <c r="G97" i="22"/>
  <c r="V93" i="22"/>
  <c r="T91" i="22"/>
  <c r="S90" i="22"/>
  <c r="R83" i="22"/>
  <c r="W83" i="22"/>
  <c r="V83" i="22"/>
  <c r="V35" i="22"/>
  <c r="A35" i="22"/>
  <c r="A36" i="22" s="1"/>
  <c r="A37" i="22" s="1"/>
  <c r="C5" i="22"/>
  <c r="D5" i="22" s="1"/>
  <c r="E5" i="22" s="1"/>
  <c r="F5" i="22" s="1"/>
  <c r="G5" i="22" s="1"/>
  <c r="M76" i="22" l="1"/>
  <c r="H106" i="22"/>
  <c r="H104" i="22" s="1"/>
  <c r="H101" i="22" s="1"/>
  <c r="I108" i="22"/>
  <c r="Q74" i="22"/>
  <c r="Q72" i="22" s="1"/>
  <c r="Q68" i="22" s="1"/>
  <c r="Q76" i="22" s="1"/>
  <c r="V71" i="22"/>
  <c r="P71" i="22"/>
  <c r="W71" i="22"/>
  <c r="S71" i="22"/>
  <c r="T71" i="22"/>
  <c r="E50" i="22"/>
  <c r="Q118" i="22" s="1"/>
  <c r="S103" i="22"/>
  <c r="P103" i="22"/>
  <c r="W103" i="22"/>
  <c r="T103" i="22"/>
  <c r="D108" i="22"/>
  <c r="D118" i="22" s="1"/>
  <c r="M104" i="22"/>
  <c r="M101" i="22" s="1"/>
  <c r="R70" i="22"/>
  <c r="F92" i="22"/>
  <c r="V92" i="22" s="1"/>
  <c r="Y50" i="22"/>
  <c r="U99" i="22"/>
  <c r="U108" i="22" s="1"/>
  <c r="Y108" i="22" s="1"/>
  <c r="U76" i="22"/>
  <c r="Y76" i="22" s="1"/>
  <c r="O95" i="22"/>
  <c r="O94" i="22"/>
  <c r="T94" i="22"/>
  <c r="S94" i="22"/>
  <c r="W9" i="22"/>
  <c r="R95" i="22"/>
  <c r="P95" i="22"/>
  <c r="R94" i="22"/>
  <c r="P94" i="22"/>
  <c r="G50" i="22"/>
  <c r="F50" i="22" s="1"/>
  <c r="O50" i="22" s="1"/>
  <c r="V9" i="22"/>
  <c r="S9" i="22"/>
  <c r="O18" i="22"/>
  <c r="V18" i="22"/>
  <c r="W18" i="22"/>
  <c r="N76" i="22"/>
  <c r="V86" i="22"/>
  <c r="R22" i="22"/>
  <c r="W22" i="22"/>
  <c r="V22" i="22"/>
  <c r="O22" i="22"/>
  <c r="P22" i="22"/>
  <c r="T22" i="22"/>
  <c r="P18" i="22"/>
  <c r="T18" i="22"/>
  <c r="R18" i="22"/>
  <c r="R9" i="22"/>
  <c r="P9" i="22"/>
  <c r="O9" i="22"/>
  <c r="Q97" i="22"/>
  <c r="P78" i="22"/>
  <c r="T70" i="22"/>
  <c r="S70" i="22"/>
  <c r="R71" i="22"/>
  <c r="V70" i="22"/>
  <c r="O71" i="22"/>
  <c r="W78" i="22"/>
  <c r="O70" i="22"/>
  <c r="H99" i="22"/>
  <c r="N108" i="22"/>
  <c r="N118" i="22" s="1"/>
  <c r="D76" i="22"/>
  <c r="H76" i="22"/>
  <c r="P14" i="22"/>
  <c r="V14" i="22"/>
  <c r="R14" i="22"/>
  <c r="O14" i="22"/>
  <c r="W14" i="22"/>
  <c r="S14" i="22"/>
  <c r="T14" i="22"/>
  <c r="O86" i="22"/>
  <c r="T95" i="22"/>
  <c r="O78" i="22"/>
  <c r="S95" i="22"/>
  <c r="S78" i="22"/>
  <c r="R86" i="22"/>
  <c r="R78" i="22"/>
  <c r="W86" i="22"/>
  <c r="P86" i="22"/>
  <c r="E101" i="22"/>
  <c r="M99" i="22"/>
  <c r="Q99" i="22"/>
  <c r="F97" i="22"/>
  <c r="S102" i="22"/>
  <c r="T102" i="22"/>
  <c r="R102" i="22"/>
  <c r="V102" i="22"/>
  <c r="O102" i="22"/>
  <c r="P102" i="22"/>
  <c r="O37" i="22"/>
  <c r="S37" i="22"/>
  <c r="T37" i="22"/>
  <c r="R37" i="22"/>
  <c r="V37" i="22"/>
  <c r="W37" i="22"/>
  <c r="P37" i="22"/>
  <c r="S86" i="22"/>
  <c r="F74" i="22"/>
  <c r="G106" i="22"/>
  <c r="F105" i="22"/>
  <c r="E92" i="22"/>
  <c r="Q120" i="22" s="1"/>
  <c r="T78" i="22"/>
  <c r="P62" i="22"/>
  <c r="V62" i="22"/>
  <c r="T62" i="22"/>
  <c r="O62" i="22"/>
  <c r="R62" i="22"/>
  <c r="S62" i="22"/>
  <c r="W62" i="22"/>
  <c r="R103" i="22"/>
  <c r="O103" i="22"/>
  <c r="V103" i="22"/>
  <c r="G68" i="22"/>
  <c r="F72" i="22"/>
  <c r="Y97" i="22"/>
  <c r="O73" i="22"/>
  <c r="S73" i="22"/>
  <c r="T73" i="22"/>
  <c r="V73" i="22"/>
  <c r="W73" i="22"/>
  <c r="P73" i="22"/>
  <c r="R73" i="22"/>
  <c r="H5" i="22"/>
  <c r="H108" i="22" l="1"/>
  <c r="Q106" i="22"/>
  <c r="Q104" i="22" s="1"/>
  <c r="Q101" i="22" s="1"/>
  <c r="I5" i="22"/>
  <c r="J5" i="22" s="1"/>
  <c r="AB76" i="22"/>
  <c r="M108" i="22"/>
  <c r="Q119" i="22"/>
  <c r="R92" i="22"/>
  <c r="P92" i="22"/>
  <c r="O92" i="22"/>
  <c r="W92" i="22"/>
  <c r="S92" i="22"/>
  <c r="E76" i="22"/>
  <c r="T50" i="22"/>
  <c r="Y48" i="22"/>
  <c r="AA48" i="22" s="1"/>
  <c r="G99" i="22"/>
  <c r="F99" i="22" s="1"/>
  <c r="V99" i="22" s="1"/>
  <c r="W50" i="22"/>
  <c r="V50" i="22"/>
  <c r="S50" i="22"/>
  <c r="P50" i="22"/>
  <c r="R50" i="22"/>
  <c r="Q108" i="22"/>
  <c r="O74" i="22"/>
  <c r="W74" i="22"/>
  <c r="P74" i="22"/>
  <c r="V74" i="22"/>
  <c r="S74" i="22"/>
  <c r="T74" i="22"/>
  <c r="R74" i="22"/>
  <c r="S72" i="22"/>
  <c r="W72" i="22"/>
  <c r="R72" i="22"/>
  <c r="O72" i="22"/>
  <c r="P72" i="22"/>
  <c r="T72" i="22"/>
  <c r="V72" i="22"/>
  <c r="E99" i="22"/>
  <c r="E108" i="22" s="1"/>
  <c r="E118" i="22" s="1"/>
  <c r="E97" i="22"/>
  <c r="G76" i="22"/>
  <c r="F68" i="22"/>
  <c r="T92" i="22"/>
  <c r="R105" i="22"/>
  <c r="S105" i="22"/>
  <c r="P105" i="22"/>
  <c r="T105" i="22"/>
  <c r="V105" i="22"/>
  <c r="O105" i="22"/>
  <c r="W105" i="22"/>
  <c r="R97" i="22"/>
  <c r="S97" i="22"/>
  <c r="V97" i="22"/>
  <c r="O97" i="22"/>
  <c r="W97" i="22"/>
  <c r="P97" i="22"/>
  <c r="F106" i="22"/>
  <c r="G104" i="22"/>
  <c r="K5" i="22" l="1"/>
  <c r="L5" i="22" s="1"/>
  <c r="M5" i="22" s="1"/>
  <c r="O5" i="22" s="1"/>
  <c r="P5" i="22" s="1"/>
  <c r="Q5" i="22" s="1"/>
  <c r="R5" i="22" s="1"/>
  <c r="S5" i="22" s="1"/>
  <c r="U5" i="22" s="1"/>
  <c r="V5" i="22" s="1"/>
  <c r="W5" i="22" s="1"/>
  <c r="S99" i="22"/>
  <c r="R99" i="22"/>
  <c r="P99" i="22"/>
  <c r="O99" i="22"/>
  <c r="W99" i="22"/>
  <c r="T99" i="22"/>
  <c r="Q122" i="22"/>
  <c r="Q123" i="22" s="1"/>
  <c r="Q121" i="22"/>
  <c r="F104" i="22"/>
  <c r="G101" i="22"/>
  <c r="T106" i="22"/>
  <c r="O106" i="22"/>
  <c r="S106" i="22"/>
  <c r="V106" i="22"/>
  <c r="P106" i="22"/>
  <c r="W106" i="22"/>
  <c r="R106" i="22"/>
  <c r="W68" i="22"/>
  <c r="R68" i="22"/>
  <c r="S68" i="22"/>
  <c r="T68" i="22"/>
  <c r="O68" i="22"/>
  <c r="P68" i="22"/>
  <c r="V68" i="22"/>
  <c r="F76" i="22"/>
  <c r="T97" i="22"/>
  <c r="F101" i="22" l="1"/>
  <c r="G108" i="22"/>
  <c r="F108" i="22" s="1"/>
  <c r="P104" i="22"/>
  <c r="V104" i="22"/>
  <c r="W104" i="22"/>
  <c r="R104" i="22"/>
  <c r="T104" i="22"/>
  <c r="O104" i="22"/>
  <c r="S104" i="22"/>
  <c r="S76" i="22"/>
  <c r="W76" i="22"/>
  <c r="R76" i="22"/>
  <c r="T76" i="22"/>
  <c r="V76" i="22"/>
  <c r="O76" i="22"/>
  <c r="P76" i="22"/>
  <c r="P108" i="22" l="1"/>
  <c r="V108" i="22"/>
  <c r="W108" i="22"/>
  <c r="T108" i="22"/>
  <c r="O108" i="22"/>
  <c r="F118" i="22"/>
  <c r="R108" i="22"/>
  <c r="S108" i="22"/>
  <c r="W101" i="22"/>
  <c r="R101" i="22"/>
  <c r="O101" i="22"/>
  <c r="P101" i="22"/>
  <c r="S101" i="22"/>
  <c r="T101" i="22"/>
  <c r="V101" i="22"/>
</calcChain>
</file>

<file path=xl/sharedStrings.xml><?xml version="1.0" encoding="utf-8"?>
<sst xmlns="http://schemas.openxmlformats.org/spreadsheetml/2006/main" count="222" uniqueCount="211">
  <si>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</si>
  <si>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</si>
  <si>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</si>
  <si>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</si>
  <si>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</si>
  <si>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</si>
  <si>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</si>
  <si>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</si>
  <si>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</si>
  <si>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</si>
  <si>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</si>
  <si>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</si>
  <si>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</si>
  <si>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</si>
  <si>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</si>
  <si>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</si>
  <si>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</si>
  <si>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</si>
  <si>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</si>
  <si>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</si>
  <si>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</si>
  <si>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</si>
  <si>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</si>
  <si>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</si>
  <si>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</si>
  <si>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</si>
  <si>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</si>
  <si>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</si>
  <si>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</si>
  <si>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</si>
  <si>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</si>
  <si>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</si>
  <si>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</si>
  <si>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</si>
  <si>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</si>
  <si>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</si>
  <si>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</si>
  <si>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</si>
  <si>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</si>
  <si>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</si>
  <si>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</si>
  <si>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</si>
  <si>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</si>
  <si>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</si>
  <si>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</si>
  <si>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</si>
  <si>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</si>
  <si>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</si>
  <si>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</si>
  <si>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</si>
  <si>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</si>
  <si>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</si>
  <si>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</si>
  <si>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</si>
  <si>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</si>
  <si>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</si>
  <si>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</si>
  <si>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</si>
  <si>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</si>
  <si>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</si>
  <si>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</si>
  <si>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</si>
  <si>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</si>
  <si>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</si>
  <si>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</si>
  <si>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Податок та збір на доходи фізичних осіб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</si>
  <si>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</si>
  <si>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</si>
  <si>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</si>
  <si>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</si>
  <si>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</si>
  <si>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</si>
  <si>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</si>
  <si>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</si>
  <si>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</si>
  <si>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</si>
  <si>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</si>
  <si>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</si>
  <si>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</si>
  <si>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</si>
  <si>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</si>
  <si>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</si>
  <si>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</si>
  <si>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</si>
  <si>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</si>
  <si>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</si>
  <si>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</si>
  <si>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</si>
  <si>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</si>
  <si>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</si>
  <si>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</si>
  <si>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</si>
  <si>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</si>
  <si>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</si>
  <si>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</si>
  <si>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</si>
  <si>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</si>
  <si>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</si>
  <si>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</si>
  <si>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</si>
  <si>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</si>
  <si>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</si>
  <si>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</si>
  <si>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</si>
  <si>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</si>
  <si>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</si>
  <si>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</si>
  <si>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</si>
  <si>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</si>
  <si>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</si>
  <si>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</si>
  <si>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</si>
  <si>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</si>
  <si>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</si>
  <si>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</si>
  <si>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</si>
  <si>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</si>
  <si>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</si>
  <si>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</si>
  <si>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</si>
  <si>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</si>
  <si>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</si>
  <si>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</si>
  <si>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Плата за гарантії, надані Верховною Радою Автономної Республіки Крим, міськими та обласними радами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</si>
  <si>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</si>
  <si>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</si>
  <si>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</si>
  <si>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</si>
  <si>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</si>
  <si>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</si>
  <si>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</si>
  <si>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</si>
  <si>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Бюджет 
на 2023 рік</t>
  </si>
  <si>
    <t>Уточнений бюджет на 2023 рік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</si>
  <si>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</si>
  <si>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</si>
  <si>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лютий</t>
  </si>
  <si>
    <t xml:space="preserve">Місцеві податки, нараховані до 1 січня 2011 року   </t>
  </si>
  <si>
    <t>16012200</t>
  </si>
  <si>
    <t>6.1.</t>
  </si>
  <si>
    <t>6.2.</t>
  </si>
  <si>
    <t>6.3.</t>
  </si>
  <si>
    <t>6.4.</t>
  </si>
  <si>
    <t>6.5.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</si>
  <si>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</si>
  <si>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</si>
  <si>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 xml:space="preserve">Інші збори за забруднення навколишнього природного середовища до Фонду охорони навколишнього природного середовища   </t>
  </si>
  <si>
    <t>19050200</t>
  </si>
  <si>
    <t>7.1.</t>
  </si>
  <si>
    <t>7.2.</t>
  </si>
  <si>
    <t>7.3.</t>
  </si>
  <si>
    <t>7.4.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</si>
  <si>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</si>
  <si>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</si>
  <si>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>16.1.</t>
  </si>
  <si>
    <t>16.2.</t>
  </si>
  <si>
    <t>16.3.</t>
  </si>
  <si>
    <t>16.4.</t>
  </si>
  <si>
    <t>березень</t>
  </si>
  <si>
    <t>41021400</t>
  </si>
  <si>
    <t>41051700</t>
  </si>
  <si>
    <t xml:space="preserve">Дотації з державного бюджету місцевим бюджетам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</si>
  <si>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</si>
  <si>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</si>
  <si>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Освітня субвенція з державного бюджету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</si>
  <si>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</si>
  <si>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</si>
  <si>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</si>
  <si>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</si>
  <si>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</si>
  <si>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</si>
  <si>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</si>
  <si>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*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</si>
  <si>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</si>
  <si>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квітень</t>
  </si>
  <si>
    <t>травень</t>
  </si>
  <si>
    <t>41040400</t>
  </si>
  <si>
    <t>Інші дотації з місцевого бюджету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</si>
  <si>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</si>
  <si>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</si>
  <si>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</si>
  <si>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</si>
  <si>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</si>
  <si>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червень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</si>
  <si>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</si>
  <si>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</si>
  <si>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</si>
  <si>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</si>
  <si>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липень</t>
  </si>
  <si>
    <t xml:space="preserve">
14021900
14031900</t>
  </si>
  <si>
    <t>План на 7 місяців 2023 року</t>
  </si>
  <si>
    <t>Відхилення надходжень до бюджету на 7 місяців 2023 року</t>
  </si>
  <si>
    <t>План на 7 місяців 2023р. (розрахунковий)</t>
  </si>
  <si>
    <t>Надійшло за 7 місяців 2023р.</t>
  </si>
  <si>
    <t xml:space="preserve">Відхилення надходжень до бюджету на 7 місяців 2023 року (розрахунковий) </t>
  </si>
  <si>
    <t>Надійшло за 7 місяців 2022р.</t>
  </si>
  <si>
    <t>Відхилення факту 7 місяців 2023р. від факту 7 місяців 2022р.</t>
  </si>
  <si>
    <t>% виконання до плану на 2023р. (норма 58,3%)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</si>
  <si>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</si>
  <si>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</si>
  <si>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41059000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</si>
  <si>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</si>
  <si>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12.1.</t>
  </si>
  <si>
    <t>12.2.</t>
  </si>
  <si>
    <t>12.3.</t>
  </si>
  <si>
    <t>12.4.</t>
  </si>
  <si>
    <t>12.5.</t>
  </si>
  <si>
    <t>Аналіз виконання бюджету Вінницької міської територіальної громади за 7 місяців 2023 року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</si>
  <si>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– 5 частини першої статті 10-1 Закону України «Про статус ветеранів війни, гарантії їх соціального захисту»,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 –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</si>
  <si>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Заступник директора департаменту фінансів</t>
  </si>
  <si>
    <t>Антоніна ЛЕСЬ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</si>
</sst>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00"/>
    <numFmt numFmtId="167" formatCode="#,##0.0"/>
  </numFmts>
  <fonts count="42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3" fillId="0" borderId="0"/>
  </cellStyleXfs>
  <cellXfs count="177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165" fontId="19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0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3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2" fillId="0" borderId="1" xfId="1" applyFont="1" applyFill="1" applyBorder="1" applyAlignment="1">
      <alignment horizontal="left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7" fillId="0" borderId="0" xfId="2" applyFont="1" applyFill="1"/>
    <xf numFmtId="0" fontId="2" fillId="0" borderId="0" xfId="2" applyFont="1" applyFill="1"/>
    <xf numFmtId="0" fontId="17" fillId="0" borderId="0" xfId="2" applyFont="1" applyFill="1" applyBorder="1"/>
    <xf numFmtId="0" fontId="16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49" fontId="14" fillId="0" borderId="1" xfId="1" applyNumberFormat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>
      <alignment horizontal="center" vertical="center" wrapText="1"/>
    </xf>
    <xf numFmtId="0" fontId="25" fillId="0" borderId="0" xfId="1" applyFont="1" applyFill="1" applyBorder="1"/>
    <xf numFmtId="49" fontId="13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4" fillId="0" borderId="0" xfId="2" applyFont="1" applyFill="1"/>
    <xf numFmtId="0" fontId="18" fillId="0" borderId="0" xfId="2" applyFont="1" applyFill="1"/>
    <xf numFmtId="0" fontId="11" fillId="0" borderId="0" xfId="1" applyFont="1" applyFill="1" applyBorder="1"/>
    <xf numFmtId="49" fontId="12" fillId="0" borderId="1" xfId="2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left" vertical="center" wrapText="1"/>
    </xf>
    <xf numFmtId="49" fontId="19" fillId="0" borderId="0" xfId="1" applyNumberFormat="1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166" fontId="4" fillId="0" borderId="0" xfId="1" applyNumberFormat="1" applyFont="1" applyFill="1" applyBorder="1"/>
    <xf numFmtId="49" fontId="24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0" fillId="2" borderId="0" xfId="1" applyFont="1" applyFill="1" applyBorder="1"/>
    <xf numFmtId="0" fontId="32" fillId="2" borderId="0" xfId="1" applyFont="1" applyFill="1" applyBorder="1"/>
    <xf numFmtId="49" fontId="31" fillId="0" borderId="1" xfId="1" applyNumberFormat="1" applyFont="1" applyFill="1" applyBorder="1" applyAlignment="1">
      <alignment horizontal="center" vertical="center" wrapText="1"/>
    </xf>
    <xf numFmtId="166" fontId="31" fillId="0" borderId="1" xfId="1" applyNumberFormat="1" applyFont="1" applyFill="1" applyBorder="1" applyAlignment="1">
      <alignment horizontal="center" vertical="center" wrapText="1"/>
    </xf>
    <xf numFmtId="0" fontId="30" fillId="0" borderId="0" xfId="1" applyFont="1" applyFill="1" applyBorder="1"/>
    <xf numFmtId="0" fontId="31" fillId="0" borderId="1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10" fillId="0" borderId="0" xfId="1" applyFont="1" applyFill="1" applyBorder="1"/>
    <xf numFmtId="166" fontId="11" fillId="0" borderId="0" xfId="1" applyNumberFormat="1" applyFont="1" applyFill="1" applyBorder="1"/>
    <xf numFmtId="0" fontId="13" fillId="0" borderId="0" xfId="1" applyFont="1" applyFill="1" applyBorder="1"/>
    <xf numFmtId="0" fontId="26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0" fillId="0" borderId="1" xfId="3" applyNumberFormat="1" applyFont="1" applyFill="1" applyBorder="1" applyAlignment="1">
      <alignment horizontal="center" vertical="center" wrapText="1"/>
    </xf>
    <xf numFmtId="1" fontId="14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0" fillId="0" borderId="1" xfId="3" applyFont="1" applyFill="1" applyBorder="1" applyAlignment="1">
      <alignment horizontal="center" vertical="center"/>
    </xf>
    <xf numFmtId="49" fontId="14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6" fillId="0" borderId="1" xfId="3" applyFont="1" applyFill="1" applyBorder="1" applyAlignment="1">
      <alignment horizontal="center" vertical="center"/>
    </xf>
    <xf numFmtId="166" fontId="27" fillId="0" borderId="0" xfId="3" applyNumberFormat="1" applyFont="1" applyFill="1" applyBorder="1"/>
    <xf numFmtId="164" fontId="27" fillId="0" borderId="0" xfId="3" applyNumberFormat="1" applyFont="1" applyFill="1" applyBorder="1"/>
    <xf numFmtId="0" fontId="27" fillId="0" borderId="0" xfId="3" applyFont="1" applyFill="1" applyBorder="1"/>
    <xf numFmtId="0" fontId="23" fillId="0" borderId="1" xfId="3" applyFont="1" applyFill="1" applyBorder="1" applyAlignment="1">
      <alignment horizontal="left" vertical="center" wrapText="1"/>
    </xf>
    <xf numFmtId="0" fontId="30" fillId="2" borderId="0" xfId="3" applyFont="1" applyFill="1" applyBorder="1"/>
    <xf numFmtId="166" fontId="30" fillId="2" borderId="0" xfId="3" applyNumberFormat="1" applyFont="1" applyFill="1" applyBorder="1"/>
    <xf numFmtId="166" fontId="31" fillId="0" borderId="1" xfId="3" applyNumberFormat="1" applyFont="1" applyFill="1" applyBorder="1" applyAlignment="1">
      <alignment horizontal="center" vertical="center"/>
    </xf>
    <xf numFmtId="164" fontId="31" fillId="0" borderId="1" xfId="3" applyNumberFormat="1" applyFont="1" applyFill="1" applyBorder="1" applyAlignment="1">
      <alignment horizontal="center" vertical="center"/>
    </xf>
    <xf numFmtId="166" fontId="19" fillId="0" borderId="0" xfId="3" applyNumberFormat="1" applyFont="1" applyFill="1" applyBorder="1" applyAlignment="1">
      <alignment horizontal="center" vertical="center"/>
    </xf>
    <xf numFmtId="164" fontId="19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 applyAlignment="1">
      <alignment horizontal="center"/>
    </xf>
    <xf numFmtId="49" fontId="34" fillId="0" borderId="1" xfId="2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166" fontId="35" fillId="0" borderId="1" xfId="3" applyNumberFormat="1" applyFont="1" applyFill="1" applyBorder="1" applyAlignment="1">
      <alignment horizontal="center" vertical="center" wrapText="1"/>
    </xf>
    <xf numFmtId="0" fontId="34" fillId="0" borderId="1" xfId="2" applyFont="1" applyFill="1" applyBorder="1" applyAlignment="1">
      <alignment horizontal="left" vertical="center" wrapText="1"/>
    </xf>
    <xf numFmtId="0" fontId="25" fillId="0" borderId="0" xfId="3" applyFont="1" applyFill="1" applyBorder="1"/>
    <xf numFmtId="14" fontId="26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1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29" fillId="0" borderId="1" xfId="1" applyNumberFormat="1" applyFont="1" applyFill="1" applyBorder="1" applyAlignment="1">
      <alignment horizontal="center" vertical="center" wrapText="1"/>
    </xf>
    <xf numFmtId="166" fontId="29" fillId="0" borderId="0" xfId="1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49" fontId="23" fillId="0" borderId="1" xfId="1" applyNumberFormat="1" applyFont="1" applyFill="1" applyBorder="1" applyAlignment="1">
      <alignment horizontal="left" vertical="center" wrapText="1"/>
    </xf>
    <xf numFmtId="166" fontId="36" fillId="0" borderId="1" xfId="3" applyNumberFormat="1" applyFont="1" applyFill="1" applyBorder="1" applyAlignment="1">
      <alignment horizontal="center" vertical="center" wrapText="1"/>
    </xf>
    <xf numFmtId="166" fontId="36" fillId="2" borderId="1" xfId="3" applyNumberFormat="1" applyFont="1" applyFill="1" applyBorder="1" applyAlignment="1">
      <alignment horizontal="center" vertical="center" wrapText="1"/>
    </xf>
    <xf numFmtId="166" fontId="36" fillId="0" borderId="1" xfId="0" applyNumberFormat="1" applyFont="1" applyFill="1" applyBorder="1" applyAlignment="1">
      <alignment horizontal="center" vertical="center" wrapText="1"/>
    </xf>
    <xf numFmtId="166" fontId="36" fillId="0" borderId="1" xfId="3" applyNumberFormat="1" applyFont="1" applyFill="1" applyBorder="1" applyAlignment="1">
      <alignment horizontal="center" vertical="center"/>
    </xf>
    <xf numFmtId="164" fontId="36" fillId="0" borderId="1" xfId="3" applyNumberFormat="1" applyFont="1" applyFill="1" applyBorder="1" applyAlignment="1">
      <alignment horizontal="center" vertical="center"/>
    </xf>
    <xf numFmtId="166" fontId="37" fillId="0" borderId="1" xfId="3" applyNumberFormat="1" applyFont="1" applyFill="1" applyBorder="1" applyAlignment="1">
      <alignment horizontal="center" vertical="center" wrapText="1"/>
    </xf>
    <xf numFmtId="166" fontId="37" fillId="0" borderId="1" xfId="0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6" fontId="36" fillId="0" borderId="1" xfId="1" applyNumberFormat="1" applyFont="1" applyFill="1" applyBorder="1" applyAlignment="1">
      <alignment horizontal="center" vertical="center" wrapText="1"/>
    </xf>
    <xf numFmtId="166" fontId="37" fillId="0" borderId="1" xfId="1" applyNumberFormat="1" applyFont="1" applyFill="1" applyBorder="1" applyAlignment="1">
      <alignment horizontal="center" vertical="center" wrapText="1"/>
    </xf>
    <xf numFmtId="49" fontId="35" fillId="0" borderId="1" xfId="1" applyNumberFormat="1" applyFont="1" applyFill="1" applyBorder="1" applyAlignment="1">
      <alignment horizontal="center" vertical="center" wrapText="1"/>
    </xf>
    <xf numFmtId="167" fontId="36" fillId="0" borderId="1" xfId="1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left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38" fillId="0" borderId="1" xfId="2" applyNumberFormat="1" applyFont="1" applyFill="1" applyBorder="1" applyAlignment="1">
      <alignment horizontal="left" vertical="center" wrapText="1"/>
    </xf>
    <xf numFmtId="0" fontId="38" fillId="0" borderId="1" xfId="2" applyNumberFormat="1" applyFont="1" applyFill="1" applyBorder="1" applyAlignment="1">
      <alignment horizontal="left" vertical="center" wrapText="1"/>
    </xf>
    <xf numFmtId="0" fontId="23" fillId="0" borderId="1" xfId="2" applyFont="1" applyFill="1" applyBorder="1" applyAlignment="1">
      <alignment vertical="top" wrapText="1"/>
    </xf>
    <xf numFmtId="166" fontId="17" fillId="0" borderId="0" xfId="2" applyNumberFormat="1" applyFont="1" applyFill="1"/>
    <xf numFmtId="166" fontId="31" fillId="0" borderId="0" xfId="1" applyNumberFormat="1" applyFont="1" applyFill="1" applyBorder="1" applyAlignment="1">
      <alignment horizontal="center" vertical="center" wrapText="1"/>
    </xf>
    <xf numFmtId="0" fontId="28" fillId="0" borderId="0" xfId="3" applyFont="1" applyFill="1" applyBorder="1"/>
    <xf numFmtId="49" fontId="10" fillId="0" borderId="1" xfId="3" applyNumberFormat="1" applyFont="1" applyFill="1" applyBorder="1" applyAlignment="1">
      <alignment horizontal="center" vertical="center" wrapText="1" shrinkToFit="1"/>
    </xf>
    <xf numFmtId="0" fontId="36" fillId="0" borderId="1" xfId="3" applyNumberFormat="1" applyFont="1" applyFill="1" applyBorder="1" applyAlignment="1">
      <alignment horizontal="center" vertical="center"/>
    </xf>
    <xf numFmtId="166" fontId="25" fillId="0" borderId="0" xfId="3" applyNumberFormat="1" applyFont="1" applyFill="1" applyBorder="1"/>
    <xf numFmtId="166" fontId="40" fillId="2" borderId="1" xfId="1" applyNumberFormat="1" applyFont="1" applyFill="1" applyBorder="1" applyAlignment="1">
      <alignment horizontal="center" vertical="center" wrapText="1"/>
    </xf>
    <xf numFmtId="166" fontId="39" fillId="2" borderId="0" xfId="1" applyNumberFormat="1" applyFont="1" applyFill="1" applyBorder="1"/>
    <xf numFmtId="0" fontId="39" fillId="2" borderId="0" xfId="1" applyFont="1" applyFill="1" applyBorder="1"/>
    <xf numFmtId="49" fontId="40" fillId="0" borderId="1" xfId="1" applyNumberFormat="1" applyFont="1" applyFill="1" applyBorder="1" applyAlignment="1">
      <alignment horizontal="center" vertical="center" wrapText="1"/>
    </xf>
    <xf numFmtId="166" fontId="40" fillId="0" borderId="1" xfId="1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/>
    </xf>
    <xf numFmtId="164" fontId="40" fillId="0" borderId="1" xfId="3" applyNumberFormat="1" applyFont="1" applyFill="1" applyBorder="1" applyAlignment="1">
      <alignment horizontal="center" vertical="center"/>
    </xf>
    <xf numFmtId="0" fontId="39" fillId="0" borderId="0" xfId="1" applyFont="1" applyFill="1" applyBorder="1"/>
    <xf numFmtId="0" fontId="39" fillId="0" borderId="1" xfId="1" applyFont="1" applyFill="1" applyBorder="1" applyAlignment="1">
      <alignment vertical="center"/>
    </xf>
    <xf numFmtId="0" fontId="40" fillId="0" borderId="1" xfId="1" applyFont="1" applyFill="1" applyBorder="1" applyAlignment="1">
      <alignment horizontal="left" vertical="center" wrapText="1"/>
    </xf>
    <xf numFmtId="0" fontId="19" fillId="0" borderId="1" xfId="1" applyFont="1" applyFill="1" applyBorder="1" applyAlignment="1">
      <alignment horizontal="center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49" fontId="41" fillId="0" borderId="1" xfId="1" applyNumberFormat="1" applyFont="1" applyFill="1" applyBorder="1" applyAlignment="1">
      <alignment horizontal="center" vertical="center"/>
    </xf>
    <xf numFmtId="49" fontId="37" fillId="0" borderId="1" xfId="1" applyNumberFormat="1" applyFont="1" applyFill="1" applyBorder="1" applyAlignment="1">
      <alignment horizontal="center" vertical="center" wrapText="1"/>
    </xf>
    <xf numFmtId="0" fontId="41" fillId="0" borderId="0" xfId="1" applyFont="1" applyFill="1" applyBorder="1"/>
    <xf numFmtId="49" fontId="38" fillId="0" borderId="1" xfId="3" applyNumberFormat="1" applyFont="1" applyFill="1" applyBorder="1" applyAlignment="1">
      <alignment horizontal="left" vertical="center" wrapText="1"/>
    </xf>
    <xf numFmtId="0" fontId="24" fillId="0" borderId="1" xfId="3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center" vertical="center" wrapText="1"/>
    </xf>
    <xf numFmtId="0" fontId="23" fillId="0" borderId="1" xfId="3" applyNumberFormat="1" applyFont="1" applyFill="1" applyBorder="1" applyAlignment="1">
      <alignment horizontal="justify" vertical="center" wrapText="1" shrinkToFit="1"/>
    </xf>
    <xf numFmtId="0" fontId="34" fillId="0" borderId="1" xfId="3" applyNumberFormat="1" applyFont="1" applyFill="1" applyBorder="1" applyAlignment="1">
      <alignment horizontal="justify" vertical="center" wrapText="1" shrinkToFit="1"/>
    </xf>
    <xf numFmtId="0" fontId="38" fillId="0" borderId="1" xfId="3" applyNumberFormat="1" applyFont="1" applyFill="1" applyBorder="1" applyAlignment="1">
      <alignment horizontal="left" vertical="center" wrapText="1" shrinkToFit="1"/>
    </xf>
    <xf numFmtId="0" fontId="23" fillId="0" borderId="1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21" fillId="0" borderId="1" xfId="3" applyNumberFormat="1" applyFont="1" applyFill="1" applyBorder="1" applyAlignment="1">
      <alignment horizontal="center" vertical="center" wrapText="1"/>
    </xf>
    <xf numFmtId="49" fontId="38" fillId="0" borderId="1" xfId="2" applyNumberFormat="1" applyFont="1" applyFill="1" applyBorder="1" applyAlignment="1">
      <alignment horizontal="center" vertical="center" wrapText="1"/>
    </xf>
    <xf numFmtId="49" fontId="15" fillId="0" borderId="0" xfId="2" applyNumberFormat="1" applyFont="1" applyFill="1" applyBorder="1" applyAlignment="1">
      <alignment horizontal="center" vertical="center" wrapText="1"/>
    </xf>
    <xf numFmtId="49" fontId="22" fillId="0" borderId="4" xfId="3" applyNumberFormat="1" applyFont="1" applyFill="1" applyBorder="1" applyAlignment="1">
      <alignment horizontal="center" vertical="center" wrapText="1"/>
    </xf>
    <xf numFmtId="49" fontId="22" fillId="0" borderId="5" xfId="3" applyNumberFormat="1" applyFont="1" applyFill="1" applyBorder="1" applyAlignment="1">
      <alignment horizontal="center" vertical="center" wrapText="1"/>
    </xf>
    <xf numFmtId="49" fontId="22" fillId="0" borderId="6" xfId="3" applyNumberFormat="1" applyFont="1" applyFill="1" applyBorder="1" applyAlignment="1">
      <alignment horizontal="center" vertical="center" wrapText="1"/>
    </xf>
    <xf numFmtId="49" fontId="19" fillId="0" borderId="4" xfId="3" applyNumberFormat="1" applyFont="1" applyFill="1" applyBorder="1" applyAlignment="1">
      <alignment horizontal="center" vertical="center" wrapText="1"/>
    </xf>
    <xf numFmtId="49" fontId="19" fillId="0" borderId="5" xfId="3" applyNumberFormat="1" applyFont="1" applyFill="1" applyBorder="1" applyAlignment="1">
      <alignment horizontal="center" vertical="center" wrapText="1"/>
    </xf>
    <xf numFmtId="49" fontId="19" fillId="0" borderId="6" xfId="3" applyNumberFormat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0" fontId="19" fillId="0" borderId="5" xfId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28" fillId="0" borderId="1" xfId="3" applyNumberFormat="1" applyFont="1" applyFill="1" applyBorder="1" applyAlignment="1">
      <alignment horizontal="center" vertical="center" wrapText="1"/>
    </xf>
    <xf numFmtId="49" fontId="38" fillId="0" borderId="1" xfId="2" applyNumberFormat="1" applyFont="1" applyFill="1" applyBorder="1" applyAlignment="1">
      <alignment horizontal="center" vertical="center" wrapText="1"/>
    </xf>
    <xf numFmtId="49" fontId="21" fillId="0" borderId="1" xfId="3" applyNumberFormat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center" vertical="center" textRotation="90" wrapText="1"/>
    </xf>
    <xf numFmtId="0" fontId="30" fillId="0" borderId="1" xfId="3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center" vertical="center" wrapText="1"/>
    </xf>
    <xf numFmtId="166" fontId="31" fillId="0" borderId="1" xfId="3" applyNumberFormat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/>
    </xf>
    <xf numFmtId="2" fontId="31" fillId="0" borderId="1" xfId="1" applyNumberFormat="1" applyFont="1" applyFill="1" applyBorder="1" applyAlignment="1">
      <alignment horizontal="center" vertical="center" wrapText="1"/>
    </xf>
    <xf numFmtId="0" fontId="39" fillId="0" borderId="1" xfId="1" applyFont="1" applyFill="1" applyBorder="1" applyAlignment="1">
      <alignment horizontal="center" vertical="center"/>
    </xf>
    <xf numFmtId="0" fontId="40" fillId="0" borderId="1" xfId="1" applyFont="1" applyFill="1" applyBorder="1" applyAlignment="1">
      <alignment horizontal="center" vertical="center" wrapText="1"/>
    </xf>
    <xf numFmtId="165" fontId="40" fillId="0" borderId="1" xfId="1" applyNumberFormat="1" applyFont="1" applyFill="1" applyBorder="1" applyAlignment="1">
      <alignment horizontal="center" vertical="center" wrapText="1"/>
    </xf>
    <xf numFmtId="0" fontId="32" fillId="0" borderId="1" xfId="1" applyFont="1" applyFill="1" applyBorder="1" applyAlignment="1">
      <alignment horizontal="center" vertical="center"/>
    </xf>
    <xf numFmtId="0" fontId="28" fillId="0" borderId="0" xfId="0" applyFont="1" applyFill="1" applyBorder="1"/>
  </cellXfs>
  <cellStyles count="4">
    <cellStyle name="Звичайний 2" xfId="3"/>
    <cellStyle name="Обычный" xfId="0" builtinId="0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6"/>
  <sheetViews>
    <sheetView showGridLines="0" tabSelected="1" view="pageBreakPreview" zoomScale="60" zoomScaleNormal="75" workbookViewId="0">
      <pane xSplit="3" ySplit="4" topLeftCell="D98" activePane="bottomRight" state="frozen"/>
      <selection pane="topRight" activeCell="D1" sqref="D1"/>
      <selection pane="bottomLeft" activeCell="A5" sqref="A5"/>
      <selection pane="bottomRight" activeCell="B3" sqref="B3:B4"/>
    </sheetView>
  </sheetViews>
  <sheetFormatPr defaultRowHeight="12.75" x14ac:dyDescent="0.2"/>
  <cols>
    <col min="1" max="1" width="12.28515625" style="20" customWidth="1"/>
    <col min="2" max="2" width="101.7109375" style="20" customWidth="1"/>
    <col min="3" max="3" width="16.140625" style="20" customWidth="1"/>
    <col min="4" max="4" width="23.5703125" style="20" customWidth="1"/>
    <col min="5" max="5" width="23.85546875" style="20" customWidth="1"/>
    <col min="6" max="6" width="24.5703125" style="3" customWidth="1"/>
    <col min="7" max="13" width="21.28515625" style="3" hidden="1" customWidth="1"/>
    <col min="14" max="14" width="25.28515625" style="3" customWidth="1"/>
    <col min="15" max="15" width="22.5703125" style="1" customWidth="1"/>
    <col min="16" max="16" width="16" style="1" customWidth="1"/>
    <col min="17" max="17" width="23.85546875" style="1" hidden="1" customWidth="1"/>
    <col min="18" max="18" width="25" style="1" hidden="1" customWidth="1"/>
    <col min="19" max="19" width="14.7109375" style="1" hidden="1" customWidth="1"/>
    <col min="20" max="20" width="16.140625" style="1" customWidth="1"/>
    <col min="21" max="21" width="23.140625" style="3" customWidth="1"/>
    <col min="22" max="22" width="21.85546875" style="1" customWidth="1"/>
    <col min="23" max="23" width="14.7109375" style="3" bestFit="1" customWidth="1"/>
    <col min="24" max="24" width="24.140625" style="3" hidden="1" customWidth="1"/>
    <col min="25" max="25" width="22.5703125" style="3" hidden="1" customWidth="1"/>
    <col min="26" max="26" width="15.85546875" style="3" hidden="1" customWidth="1"/>
    <col min="27" max="27" width="0" style="3" hidden="1" customWidth="1"/>
    <col min="28" max="28" width="24.140625" style="3" hidden="1" customWidth="1"/>
    <col min="29" max="29" width="0" style="3" hidden="1" customWidth="1"/>
    <col min="30" max="30" width="15.140625" style="3" hidden="1" customWidth="1"/>
    <col min="31" max="16384" width="9.140625" style="3"/>
  </cols>
  <sheetData>
    <row r="1" spans="1:38" ht="30" customHeight="1" x14ac:dyDescent="0.2">
      <c r="A1" s="148" t="s">
        <v>207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</row>
    <row r="2" spans="1:38" ht="18.75" x14ac:dyDescent="0.3">
      <c r="A2" s="23" t="s">
        <v>48</v>
      </c>
      <c r="B2" s="18"/>
      <c r="C2" s="18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U2" s="81"/>
      <c r="V2" s="5" t="s">
        <v>13</v>
      </c>
      <c r="W2" s="5"/>
    </row>
    <row r="3" spans="1:38" s="55" customFormat="1" ht="15" customHeight="1" x14ac:dyDescent="0.25">
      <c r="A3" s="160" t="s">
        <v>0</v>
      </c>
      <c r="B3" s="161" t="s">
        <v>1</v>
      </c>
      <c r="C3" s="161" t="s">
        <v>2</v>
      </c>
      <c r="D3" s="162" t="s">
        <v>132</v>
      </c>
      <c r="E3" s="162" t="s">
        <v>133</v>
      </c>
      <c r="F3" s="162" t="s">
        <v>193</v>
      </c>
      <c r="G3" s="162" t="s">
        <v>63</v>
      </c>
      <c r="H3" s="162" t="s">
        <v>136</v>
      </c>
      <c r="I3" s="162" t="s">
        <v>158</v>
      </c>
      <c r="J3" s="162" t="s">
        <v>174</v>
      </c>
      <c r="K3" s="162" t="s">
        <v>175</v>
      </c>
      <c r="L3" s="162" t="s">
        <v>183</v>
      </c>
      <c r="M3" s="162" t="s">
        <v>188</v>
      </c>
      <c r="N3" s="162" t="s">
        <v>190</v>
      </c>
      <c r="O3" s="162" t="s">
        <v>191</v>
      </c>
      <c r="P3" s="162" t="s">
        <v>3</v>
      </c>
      <c r="Q3" s="162" t="s">
        <v>192</v>
      </c>
      <c r="R3" s="162" t="s">
        <v>194</v>
      </c>
      <c r="S3" s="162" t="s">
        <v>3</v>
      </c>
      <c r="T3" s="166" t="s">
        <v>197</v>
      </c>
      <c r="U3" s="162" t="s">
        <v>195</v>
      </c>
      <c r="V3" s="162" t="s">
        <v>196</v>
      </c>
      <c r="W3" s="162" t="s">
        <v>3</v>
      </c>
    </row>
    <row r="4" spans="1:38" s="55" customFormat="1" ht="79.5" customHeight="1" x14ac:dyDescent="0.25">
      <c r="A4" s="160"/>
      <c r="B4" s="161"/>
      <c r="C4" s="161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6"/>
      <c r="U4" s="162"/>
      <c r="V4" s="162"/>
      <c r="W4" s="162"/>
    </row>
    <row r="5" spans="1:38" s="59" customFormat="1" ht="20.25" x14ac:dyDescent="0.2">
      <c r="A5" s="56" t="s">
        <v>4</v>
      </c>
      <c r="B5" s="57" t="s">
        <v>5</v>
      </c>
      <c r="C5" s="57">
        <f>B5+1</f>
        <v>3</v>
      </c>
      <c r="D5" s="57">
        <f>C5+1</f>
        <v>4</v>
      </c>
      <c r="E5" s="57">
        <f t="shared" ref="E5" si="0">D5+1</f>
        <v>5</v>
      </c>
      <c r="F5" s="57">
        <f>E5+1</f>
        <v>6</v>
      </c>
      <c r="G5" s="57">
        <f t="shared" ref="G5" si="1">F5+1</f>
        <v>7</v>
      </c>
      <c r="H5" s="57">
        <f t="shared" ref="H5" si="2">G5+1</f>
        <v>8</v>
      </c>
      <c r="I5" s="57">
        <f t="shared" ref="I5" si="3">H5+1</f>
        <v>9</v>
      </c>
      <c r="J5" s="57">
        <f t="shared" ref="J5" si="4">I5+1</f>
        <v>10</v>
      </c>
      <c r="K5" s="57">
        <f t="shared" ref="K5" si="5">J5+1</f>
        <v>11</v>
      </c>
      <c r="L5" s="57">
        <f t="shared" ref="L5" si="6">K5+1</f>
        <v>12</v>
      </c>
      <c r="M5" s="57">
        <f t="shared" ref="M5" si="7">L5+1</f>
        <v>13</v>
      </c>
      <c r="N5" s="57">
        <v>7</v>
      </c>
      <c r="O5" s="57">
        <f t="shared" ref="O5:W5" si="8">N5+1</f>
        <v>8</v>
      </c>
      <c r="P5" s="57">
        <f t="shared" ref="P5" si="9">O5+1</f>
        <v>9</v>
      </c>
      <c r="Q5" s="57">
        <f t="shared" ref="Q5" si="10">P5+1</f>
        <v>10</v>
      </c>
      <c r="R5" s="57">
        <f t="shared" ref="R5" si="11">Q5+1</f>
        <v>11</v>
      </c>
      <c r="S5" s="57">
        <f t="shared" ref="S5" si="12">R5+1</f>
        <v>12</v>
      </c>
      <c r="T5" s="57">
        <v>10</v>
      </c>
      <c r="U5" s="57">
        <f t="shared" si="8"/>
        <v>11</v>
      </c>
      <c r="V5" s="57">
        <f t="shared" si="8"/>
        <v>12</v>
      </c>
      <c r="W5" s="57">
        <f t="shared" si="8"/>
        <v>13</v>
      </c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1:38" s="60" customFormat="1" ht="26.25" customHeight="1" x14ac:dyDescent="0.2">
      <c r="A6" s="149" t="s">
        <v>6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1"/>
    </row>
    <row r="7" spans="1:38" s="65" customFormat="1" ht="34.5" customHeight="1" x14ac:dyDescent="0.25">
      <c r="A7" s="61">
        <v>1</v>
      </c>
      <c r="B7" s="70" t="s">
        <v>65</v>
      </c>
      <c r="C7" s="62" t="s">
        <v>14</v>
      </c>
      <c r="D7" s="98">
        <v>3259847.3</v>
      </c>
      <c r="E7" s="98">
        <v>3967553.3</v>
      </c>
      <c r="F7" s="98">
        <f>SUM(G7:M7)</f>
        <v>1980946.79</v>
      </c>
      <c r="G7" s="98">
        <v>228775.38699999999</v>
      </c>
      <c r="H7" s="98">
        <v>295552.81099999999</v>
      </c>
      <c r="I7" s="98">
        <v>261013.09899999999</v>
      </c>
      <c r="J7" s="98">
        <v>280386.42499999999</v>
      </c>
      <c r="K7" s="98">
        <v>305385.00400000002</v>
      </c>
      <c r="L7" s="98">
        <v>318679.49</v>
      </c>
      <c r="M7" s="98">
        <v>291154.57400000002</v>
      </c>
      <c r="N7" s="100">
        <v>1213258.5819999999</v>
      </c>
      <c r="O7" s="101">
        <f t="shared" ref="O7:O45" si="13">F7-N7</f>
        <v>767688.2080000001</v>
      </c>
      <c r="P7" s="102">
        <f>F7/N7*100</f>
        <v>163.27490440945425</v>
      </c>
      <c r="Q7" s="101">
        <f>E7/12*7</f>
        <v>2314406.0916666668</v>
      </c>
      <c r="R7" s="101">
        <f t="shared" ref="R7:R45" si="14">F7-Q7</f>
        <v>-333459.30166666675</v>
      </c>
      <c r="S7" s="102">
        <f t="shared" ref="S7:S44" si="15">F7/Q7*100</f>
        <v>85.592014172995306</v>
      </c>
      <c r="T7" s="102">
        <f>F7/E7*100</f>
        <v>49.928674934247262</v>
      </c>
      <c r="U7" s="98">
        <v>1689920.598</v>
      </c>
      <c r="V7" s="101">
        <f t="shared" ref="V7:V45" si="16">F7-U7</f>
        <v>291026.19200000004</v>
      </c>
      <c r="W7" s="102">
        <f>F7/U7*100</f>
        <v>117.22129384921551</v>
      </c>
      <c r="X7" s="63"/>
      <c r="Y7" s="63"/>
      <c r="Z7" s="63">
        <f>X7-Y7</f>
        <v>0</v>
      </c>
      <c r="AA7" s="64" t="e">
        <f>X7/Y7*100</f>
        <v>#DIV/0!</v>
      </c>
    </row>
    <row r="8" spans="1:38" s="65" customFormat="1" ht="39" x14ac:dyDescent="0.25">
      <c r="A8" s="61">
        <f>A7+1</f>
        <v>2</v>
      </c>
      <c r="B8" s="70" t="s">
        <v>36</v>
      </c>
      <c r="C8" s="62" t="s">
        <v>16</v>
      </c>
      <c r="D8" s="98">
        <v>760</v>
      </c>
      <c r="E8" s="98">
        <v>1160</v>
      </c>
      <c r="F8" s="98">
        <f t="shared" ref="F8:F76" si="17">SUM(G8:M8)</f>
        <v>1097.067</v>
      </c>
      <c r="G8" s="98">
        <v>0</v>
      </c>
      <c r="H8" s="98">
        <v>74.150000000000006</v>
      </c>
      <c r="I8" s="98">
        <v>881.80200000000002</v>
      </c>
      <c r="J8" s="98">
        <v>46.475000000000001</v>
      </c>
      <c r="K8" s="98">
        <v>90.715000000000003</v>
      </c>
      <c r="L8" s="98">
        <v>-0.39500000000000002</v>
      </c>
      <c r="M8" s="98">
        <v>4.32</v>
      </c>
      <c r="N8" s="100">
        <v>1092.5</v>
      </c>
      <c r="O8" s="101">
        <f t="shared" si="13"/>
        <v>4.5670000000000073</v>
      </c>
      <c r="P8" s="102">
        <f>F8/N8*100</f>
        <v>100.41803203661328</v>
      </c>
      <c r="Q8" s="101">
        <f t="shared" ref="Q8:Q49" si="18">E8/12*7</f>
        <v>676.66666666666674</v>
      </c>
      <c r="R8" s="101">
        <f t="shared" si="14"/>
        <v>420.40033333333326</v>
      </c>
      <c r="S8" s="102">
        <f t="shared" si="15"/>
        <v>162.12812807881772</v>
      </c>
      <c r="T8" s="102">
        <f t="shared" ref="T8:T76" si="19">F8/E8*100</f>
        <v>94.574741379310339</v>
      </c>
      <c r="U8" s="98">
        <v>443.62699999999995</v>
      </c>
      <c r="V8" s="101">
        <f t="shared" si="16"/>
        <v>653.44000000000005</v>
      </c>
      <c r="W8" s="102">
        <f>F8/U8*100</f>
        <v>247.29491216720353</v>
      </c>
      <c r="X8" s="63"/>
      <c r="Y8" s="63"/>
      <c r="Z8" s="63">
        <f>U7/0.5</f>
        <v>3379841.196</v>
      </c>
      <c r="AA8" s="64">
        <f>Y8/Z8*100</f>
        <v>0</v>
      </c>
    </row>
    <row r="9" spans="1:38" s="65" customFormat="1" ht="23.25" x14ac:dyDescent="0.25">
      <c r="A9" s="61">
        <v>3</v>
      </c>
      <c r="B9" s="70" t="s">
        <v>99</v>
      </c>
      <c r="C9" s="62" t="s">
        <v>100</v>
      </c>
      <c r="D9" s="98">
        <f>SUM(D10:D13)</f>
        <v>639</v>
      </c>
      <c r="E9" s="98">
        <f>SUM(E10:E13)</f>
        <v>639</v>
      </c>
      <c r="F9" s="98">
        <f t="shared" si="17"/>
        <v>221.11300000000006</v>
      </c>
      <c r="G9" s="98">
        <f t="shared" ref="G9:N9" si="20">SUM(G10:G13)</f>
        <v>1.4119999999999999</v>
      </c>
      <c r="H9" s="98">
        <f t="shared" ref="H9:M9" si="21">SUM(H10:H13)</f>
        <v>166.41500000000002</v>
      </c>
      <c r="I9" s="98">
        <f t="shared" si="21"/>
        <v>10.050000000000001</v>
      </c>
      <c r="J9" s="98">
        <f t="shared" si="21"/>
        <v>1.119</v>
      </c>
      <c r="K9" s="98">
        <f t="shared" si="21"/>
        <v>40.365000000000002</v>
      </c>
      <c r="L9" s="98">
        <f t="shared" si="21"/>
        <v>0.12</v>
      </c>
      <c r="M9" s="98">
        <f t="shared" si="21"/>
        <v>1.6319999999999999</v>
      </c>
      <c r="N9" s="98">
        <f t="shared" si="20"/>
        <v>219.66000000000003</v>
      </c>
      <c r="O9" s="101">
        <f t="shared" si="13"/>
        <v>1.4530000000000314</v>
      </c>
      <c r="P9" s="102">
        <f>F9/N9*100</f>
        <v>100.66147682782483</v>
      </c>
      <c r="Q9" s="101">
        <f t="shared" si="18"/>
        <v>372.75</v>
      </c>
      <c r="R9" s="101">
        <f t="shared" si="14"/>
        <v>-151.63699999999994</v>
      </c>
      <c r="S9" s="102">
        <f t="shared" si="15"/>
        <v>59.319382964453403</v>
      </c>
      <c r="T9" s="102">
        <f t="shared" si="19"/>
        <v>34.602973395931151</v>
      </c>
      <c r="U9" s="98">
        <f>SUM(U10:U13)</f>
        <v>260.13799999999998</v>
      </c>
      <c r="V9" s="101">
        <f t="shared" si="16"/>
        <v>-39.02499999999992</v>
      </c>
      <c r="W9" s="102">
        <f>F9/U9*100</f>
        <v>84.998347031191173</v>
      </c>
      <c r="X9" s="63"/>
      <c r="Y9" s="63"/>
      <c r="Z9" s="63"/>
      <c r="AA9" s="64"/>
    </row>
    <row r="10" spans="1:38" s="65" customFormat="1" ht="39" x14ac:dyDescent="0.25">
      <c r="A10" s="66" t="s">
        <v>101</v>
      </c>
      <c r="B10" s="137" t="s">
        <v>125</v>
      </c>
      <c r="C10" s="147" t="s">
        <v>126</v>
      </c>
      <c r="D10" s="98">
        <v>18</v>
      </c>
      <c r="E10" s="98">
        <v>18</v>
      </c>
      <c r="F10" s="103">
        <f t="shared" si="17"/>
        <v>13.048</v>
      </c>
      <c r="G10" s="98">
        <v>0.79500000000000004</v>
      </c>
      <c r="H10" s="98">
        <v>3.4129999999999998</v>
      </c>
      <c r="I10" s="98">
        <v>0</v>
      </c>
      <c r="J10" s="98">
        <v>0</v>
      </c>
      <c r="K10" s="98">
        <v>8.84</v>
      </c>
      <c r="L10" s="98">
        <v>0</v>
      </c>
      <c r="M10" s="98">
        <v>0</v>
      </c>
      <c r="N10" s="100">
        <v>12.99</v>
      </c>
      <c r="O10" s="101">
        <f t="shared" ref="O10" si="22">F10-N10</f>
        <v>5.7999999999999829E-2</v>
      </c>
      <c r="P10" s="106">
        <f t="shared" ref="P10:P11" si="23">F10/N10*100</f>
        <v>100.4464973056197</v>
      </c>
      <c r="Q10" s="101">
        <f t="shared" si="18"/>
        <v>10.5</v>
      </c>
      <c r="R10" s="101">
        <f t="shared" ref="R10" si="24">F10-Q10</f>
        <v>2.548</v>
      </c>
      <c r="S10" s="106">
        <f t="shared" si="15"/>
        <v>124.26666666666665</v>
      </c>
      <c r="T10" s="102">
        <f t="shared" si="19"/>
        <v>72.488888888888894</v>
      </c>
      <c r="U10" s="98">
        <v>8.76</v>
      </c>
      <c r="V10" s="101">
        <f t="shared" si="16"/>
        <v>4.2880000000000003</v>
      </c>
      <c r="W10" s="102">
        <f t="shared" ref="W10:W11" si="25">F10/U10*100</f>
        <v>148.94977168949771</v>
      </c>
      <c r="X10" s="63"/>
      <c r="Y10" s="63"/>
      <c r="Z10" s="63"/>
      <c r="AA10" s="64"/>
    </row>
    <row r="11" spans="1:38" s="69" customFormat="1" ht="58.5" x14ac:dyDescent="0.25">
      <c r="A11" s="66" t="s">
        <v>102</v>
      </c>
      <c r="B11" s="137" t="s">
        <v>94</v>
      </c>
      <c r="C11" s="54" t="s">
        <v>95</v>
      </c>
      <c r="D11" s="103">
        <v>415</v>
      </c>
      <c r="E11" s="103">
        <v>415</v>
      </c>
      <c r="F11" s="103">
        <f t="shared" si="17"/>
        <v>165.25800000000001</v>
      </c>
      <c r="G11" s="103">
        <v>0</v>
      </c>
      <c r="H11" s="103">
        <v>143.291</v>
      </c>
      <c r="I11" s="103">
        <v>0</v>
      </c>
      <c r="J11" s="103">
        <v>0</v>
      </c>
      <c r="K11" s="103">
        <v>21.864000000000001</v>
      </c>
      <c r="L11" s="103">
        <v>0</v>
      </c>
      <c r="M11" s="103">
        <v>0.10299999999999999</v>
      </c>
      <c r="N11" s="104">
        <v>165</v>
      </c>
      <c r="O11" s="105">
        <f t="shared" si="13"/>
        <v>0.25800000000000978</v>
      </c>
      <c r="P11" s="106">
        <f t="shared" si="23"/>
        <v>100.15636363636364</v>
      </c>
      <c r="Q11" s="105">
        <f t="shared" si="18"/>
        <v>242.08333333333334</v>
      </c>
      <c r="R11" s="105">
        <f t="shared" si="14"/>
        <v>-76.825333333333333</v>
      </c>
      <c r="S11" s="106">
        <f t="shared" si="15"/>
        <v>68.264922547332191</v>
      </c>
      <c r="T11" s="106">
        <f t="shared" si="19"/>
        <v>39.821204819277114</v>
      </c>
      <c r="U11" s="103">
        <v>127.988</v>
      </c>
      <c r="V11" s="105">
        <f t="shared" si="16"/>
        <v>37.27000000000001</v>
      </c>
      <c r="W11" s="106">
        <f t="shared" si="25"/>
        <v>129.1199174922649</v>
      </c>
    </row>
    <row r="12" spans="1:38" s="69" customFormat="1" ht="39" x14ac:dyDescent="0.25">
      <c r="A12" s="66" t="s">
        <v>103</v>
      </c>
      <c r="B12" s="137" t="s">
        <v>122</v>
      </c>
      <c r="C12" s="54" t="s">
        <v>98</v>
      </c>
      <c r="D12" s="103">
        <v>96</v>
      </c>
      <c r="E12" s="103">
        <v>96</v>
      </c>
      <c r="F12" s="103">
        <f t="shared" si="17"/>
        <v>41.288999999999994</v>
      </c>
      <c r="G12" s="103">
        <v>0.45700000000000002</v>
      </c>
      <c r="H12" s="103">
        <v>19.710999999999999</v>
      </c>
      <c r="I12" s="103">
        <v>10.050000000000001</v>
      </c>
      <c r="J12" s="103">
        <v>1.119</v>
      </c>
      <c r="K12" s="103">
        <v>8.4749999999999996</v>
      </c>
      <c r="L12" s="103">
        <v>0.12</v>
      </c>
      <c r="M12" s="103">
        <v>1.357</v>
      </c>
      <c r="N12" s="104">
        <v>40.42</v>
      </c>
      <c r="O12" s="105">
        <f t="shared" si="13"/>
        <v>0.86899999999999267</v>
      </c>
      <c r="P12" s="106">
        <f>F12/N12*100</f>
        <v>102.14992577931714</v>
      </c>
      <c r="Q12" s="105">
        <f t="shared" si="18"/>
        <v>56</v>
      </c>
      <c r="R12" s="105">
        <f t="shared" si="14"/>
        <v>-14.711000000000006</v>
      </c>
      <c r="S12" s="106">
        <f t="shared" si="15"/>
        <v>73.73035714285713</v>
      </c>
      <c r="T12" s="106">
        <f t="shared" si="19"/>
        <v>43.009374999999991</v>
      </c>
      <c r="U12" s="103">
        <v>49.350999999999999</v>
      </c>
      <c r="V12" s="105">
        <f t="shared" si="16"/>
        <v>-8.0620000000000047</v>
      </c>
      <c r="W12" s="106">
        <f t="shared" ref="W12:W20" si="26">F12/U12*100</f>
        <v>83.66395817713925</v>
      </c>
    </row>
    <row r="13" spans="1:38" s="69" customFormat="1" ht="39" x14ac:dyDescent="0.25">
      <c r="A13" s="66" t="s">
        <v>127</v>
      </c>
      <c r="B13" s="137" t="s">
        <v>121</v>
      </c>
      <c r="C13" s="54" t="s">
        <v>120</v>
      </c>
      <c r="D13" s="103">
        <v>110</v>
      </c>
      <c r="E13" s="103">
        <v>110</v>
      </c>
      <c r="F13" s="103">
        <f t="shared" si="17"/>
        <v>1.5179999999999998</v>
      </c>
      <c r="G13" s="103">
        <v>0.16</v>
      </c>
      <c r="H13" s="103">
        <v>0</v>
      </c>
      <c r="I13" s="103">
        <v>0</v>
      </c>
      <c r="J13" s="103">
        <v>0</v>
      </c>
      <c r="K13" s="103">
        <v>1.1859999999999999</v>
      </c>
      <c r="L13" s="103"/>
      <c r="M13" s="103">
        <v>0.17199999999999999</v>
      </c>
      <c r="N13" s="104">
        <v>1.25</v>
      </c>
      <c r="O13" s="105">
        <f t="shared" si="13"/>
        <v>0.26799999999999979</v>
      </c>
      <c r="P13" s="106">
        <f>F13/N13*100</f>
        <v>121.44</v>
      </c>
      <c r="Q13" s="105">
        <f t="shared" si="18"/>
        <v>64.166666666666657</v>
      </c>
      <c r="R13" s="105">
        <f t="shared" si="14"/>
        <v>-62.648666666666657</v>
      </c>
      <c r="S13" s="106">
        <f t="shared" si="15"/>
        <v>2.3657142857142857</v>
      </c>
      <c r="T13" s="106">
        <f t="shared" si="19"/>
        <v>1.38</v>
      </c>
      <c r="U13" s="103">
        <v>74.039000000000001</v>
      </c>
      <c r="V13" s="105">
        <f t="shared" si="16"/>
        <v>-72.521000000000001</v>
      </c>
      <c r="W13" s="106">
        <f t="shared" si="26"/>
        <v>2.050270803225327</v>
      </c>
    </row>
    <row r="14" spans="1:38" s="65" customFormat="1" ht="33" customHeight="1" x14ac:dyDescent="0.25">
      <c r="A14" s="61">
        <v>4</v>
      </c>
      <c r="B14" s="86" t="s">
        <v>85</v>
      </c>
      <c r="C14" s="82" t="s">
        <v>84</v>
      </c>
      <c r="D14" s="98">
        <f>D15+D18</f>
        <v>363500</v>
      </c>
      <c r="E14" s="98">
        <f>E15+E18</f>
        <v>373500</v>
      </c>
      <c r="F14" s="98">
        <f t="shared" si="17"/>
        <v>231018.47300000003</v>
      </c>
      <c r="G14" s="98">
        <f t="shared" ref="G14:M14" si="27">G15+G18</f>
        <v>34903.103000000003</v>
      </c>
      <c r="H14" s="98">
        <f t="shared" si="27"/>
        <v>30285.708999999995</v>
      </c>
      <c r="I14" s="98">
        <f t="shared" si="27"/>
        <v>27886.862000000001</v>
      </c>
      <c r="J14" s="98">
        <f t="shared" si="27"/>
        <v>30002.395000000004</v>
      </c>
      <c r="K14" s="98">
        <f t="shared" ref="K14:L14" si="28">K15+K18</f>
        <v>33502.967000000004</v>
      </c>
      <c r="L14" s="98">
        <f t="shared" si="28"/>
        <v>36492.016000000003</v>
      </c>
      <c r="M14" s="98">
        <f t="shared" si="27"/>
        <v>37945.421000000002</v>
      </c>
      <c r="N14" s="100">
        <f>N15+N18</f>
        <v>218760</v>
      </c>
      <c r="O14" s="101">
        <f t="shared" si="13"/>
        <v>12258.473000000027</v>
      </c>
      <c r="P14" s="102">
        <f>F14/N14*100</f>
        <v>105.6036172060706</v>
      </c>
      <c r="Q14" s="101">
        <f t="shared" si="18"/>
        <v>217875</v>
      </c>
      <c r="R14" s="101">
        <f t="shared" si="14"/>
        <v>13143.473000000027</v>
      </c>
      <c r="S14" s="102">
        <f t="shared" si="15"/>
        <v>106.03257510040163</v>
      </c>
      <c r="T14" s="102">
        <f t="shared" si="19"/>
        <v>61.852335475234277</v>
      </c>
      <c r="U14" s="98">
        <f>U15+U18</f>
        <v>113308.10399999999</v>
      </c>
      <c r="V14" s="101">
        <f t="shared" si="16"/>
        <v>117710.36900000004</v>
      </c>
      <c r="W14" s="102">
        <f t="shared" si="26"/>
        <v>203.88521636545966</v>
      </c>
    </row>
    <row r="15" spans="1:38" s="69" customFormat="1" ht="39" x14ac:dyDescent="0.25">
      <c r="A15" s="66" t="s">
        <v>116</v>
      </c>
      <c r="B15" s="137" t="s">
        <v>182</v>
      </c>
      <c r="C15" s="163" t="s">
        <v>189</v>
      </c>
      <c r="D15" s="103">
        <f>SUM(D16:D17)</f>
        <v>97000</v>
      </c>
      <c r="E15" s="103">
        <f>SUM(E16:E17)</f>
        <v>107000</v>
      </c>
      <c r="F15" s="103">
        <f t="shared" si="17"/>
        <v>71133.157000000007</v>
      </c>
      <c r="G15" s="103">
        <f t="shared" ref="G15:N15" si="29">SUM(G16:G17)</f>
        <v>11182.674000000001</v>
      </c>
      <c r="H15" s="103">
        <f t="shared" si="29"/>
        <v>8470.1849999999995</v>
      </c>
      <c r="I15" s="103">
        <f t="shared" si="29"/>
        <v>9010.5910000000003</v>
      </c>
      <c r="J15" s="103">
        <f t="shared" si="29"/>
        <v>8681.0480000000007</v>
      </c>
      <c r="K15" s="103">
        <f t="shared" ref="K15:L15" si="30">SUM(K16:K17)</f>
        <v>10079.210999999999</v>
      </c>
      <c r="L15" s="103">
        <f t="shared" si="30"/>
        <v>13029.067999999999</v>
      </c>
      <c r="M15" s="103">
        <f t="shared" si="29"/>
        <v>10680.380000000001</v>
      </c>
      <c r="N15" s="104">
        <f t="shared" si="29"/>
        <v>67260</v>
      </c>
      <c r="O15" s="105">
        <f t="shared" ref="O15" si="31">F15-N15</f>
        <v>3873.1570000000065</v>
      </c>
      <c r="P15" s="106">
        <f>F15/N15*100</f>
        <v>105.75848498364557</v>
      </c>
      <c r="Q15" s="105">
        <f t="shared" si="18"/>
        <v>62416.666666666664</v>
      </c>
      <c r="R15" s="105">
        <f t="shared" ref="R15" si="32">F15-Q15</f>
        <v>8716.4903333333423</v>
      </c>
      <c r="S15" s="106">
        <f t="shared" ref="S15" si="33">F15/Q15*100</f>
        <v>113.96500453938587</v>
      </c>
      <c r="T15" s="106">
        <f t="shared" ref="T15" si="34">F15/E15*100</f>
        <v>66.479585981308418</v>
      </c>
      <c r="U15" s="103">
        <f>SUM(U16:U17)</f>
        <v>18560.650000000001</v>
      </c>
      <c r="V15" s="105">
        <f t="shared" si="16"/>
        <v>52572.507000000005</v>
      </c>
      <c r="W15" s="106">
        <f t="shared" si="26"/>
        <v>383.2471222721187</v>
      </c>
    </row>
    <row r="16" spans="1:38" s="69" customFormat="1" ht="39" x14ac:dyDescent="0.25">
      <c r="A16" s="66" t="s">
        <v>178</v>
      </c>
      <c r="B16" s="137" t="s">
        <v>88</v>
      </c>
      <c r="C16" s="163"/>
      <c r="D16" s="103">
        <v>7000</v>
      </c>
      <c r="E16" s="103">
        <v>17000</v>
      </c>
      <c r="F16" s="103">
        <f t="shared" si="17"/>
        <v>13521.728999999999</v>
      </c>
      <c r="G16" s="103">
        <v>766.33199999999999</v>
      </c>
      <c r="H16" s="103">
        <v>831.39099999999996</v>
      </c>
      <c r="I16" s="103">
        <v>2540.6590000000001</v>
      </c>
      <c r="J16" s="103">
        <v>2080.511</v>
      </c>
      <c r="K16" s="103">
        <v>1919.4639999999999</v>
      </c>
      <c r="L16" s="103">
        <v>3403.424</v>
      </c>
      <c r="M16" s="103">
        <v>1979.9480000000001</v>
      </c>
      <c r="N16" s="104">
        <v>12460</v>
      </c>
      <c r="O16" s="105">
        <f t="shared" si="13"/>
        <v>1061.7289999999994</v>
      </c>
      <c r="P16" s="102">
        <f t="shared" ref="P16:P17" si="35">F16/N16*100</f>
        <v>108.52109951845907</v>
      </c>
      <c r="Q16" s="105">
        <f t="shared" si="18"/>
        <v>9916.6666666666679</v>
      </c>
      <c r="R16" s="105">
        <f t="shared" si="14"/>
        <v>3605.0623333333315</v>
      </c>
      <c r="S16" s="106">
        <f t="shared" si="15"/>
        <v>136.35356974789914</v>
      </c>
      <c r="T16" s="106">
        <f t="shared" si="19"/>
        <v>79.539582352941167</v>
      </c>
      <c r="U16" s="103">
        <v>4231</v>
      </c>
      <c r="V16" s="105">
        <f t="shared" si="16"/>
        <v>9290.7289999999994</v>
      </c>
      <c r="W16" s="106">
        <f t="shared" si="26"/>
        <v>319.58707161427554</v>
      </c>
      <c r="X16" s="67">
        <f>U16+U17</f>
        <v>18560.650000000001</v>
      </c>
      <c r="Y16" s="67">
        <f>F16+F17</f>
        <v>71133.157000000007</v>
      </c>
    </row>
    <row r="17" spans="1:26" s="69" customFormat="1" ht="39" x14ac:dyDescent="0.25">
      <c r="A17" s="66" t="s">
        <v>179</v>
      </c>
      <c r="B17" s="137" t="s">
        <v>89</v>
      </c>
      <c r="C17" s="163"/>
      <c r="D17" s="103">
        <v>90000</v>
      </c>
      <c r="E17" s="103">
        <v>90000</v>
      </c>
      <c r="F17" s="103">
        <f t="shared" si="17"/>
        <v>57611.428</v>
      </c>
      <c r="G17" s="103">
        <v>10416.342000000001</v>
      </c>
      <c r="H17" s="103">
        <v>7638.7939999999999</v>
      </c>
      <c r="I17" s="103">
        <v>6469.9319999999998</v>
      </c>
      <c r="J17" s="103">
        <v>6600.5370000000003</v>
      </c>
      <c r="K17" s="103">
        <v>8159.7470000000003</v>
      </c>
      <c r="L17" s="103">
        <v>9625.6440000000002</v>
      </c>
      <c r="M17" s="103">
        <v>8700.4320000000007</v>
      </c>
      <c r="N17" s="104">
        <v>54800</v>
      </c>
      <c r="O17" s="105">
        <f t="shared" si="13"/>
        <v>2811.4279999999999</v>
      </c>
      <c r="P17" s="102">
        <f t="shared" si="35"/>
        <v>105.13034306569342</v>
      </c>
      <c r="Q17" s="105">
        <f t="shared" si="18"/>
        <v>52500</v>
      </c>
      <c r="R17" s="105">
        <f t="shared" si="14"/>
        <v>5111.4279999999999</v>
      </c>
      <c r="S17" s="106">
        <f t="shared" si="15"/>
        <v>109.73605333333334</v>
      </c>
      <c r="T17" s="106">
        <f t="shared" si="19"/>
        <v>64.012697777777788</v>
      </c>
      <c r="U17" s="103">
        <v>14329.650000000001</v>
      </c>
      <c r="V17" s="105">
        <f t="shared" si="16"/>
        <v>43281.777999999998</v>
      </c>
      <c r="W17" s="106">
        <f t="shared" si="26"/>
        <v>402.04351118136168</v>
      </c>
    </row>
    <row r="18" spans="1:26" s="69" customFormat="1" ht="39" x14ac:dyDescent="0.25">
      <c r="A18" s="66" t="s">
        <v>117</v>
      </c>
      <c r="B18" s="137" t="s">
        <v>90</v>
      </c>
      <c r="C18" s="54" t="s">
        <v>56</v>
      </c>
      <c r="D18" s="103">
        <f t="shared" ref="D18:E18" si="36">SUM(D19:D20)</f>
        <v>266500</v>
      </c>
      <c r="E18" s="103">
        <f t="shared" si="36"/>
        <v>266500</v>
      </c>
      <c r="F18" s="103">
        <f t="shared" si="17"/>
        <v>159885.31599999999</v>
      </c>
      <c r="G18" s="103">
        <f t="shared" ref="G18:N18" si="37">SUM(G19:G20)</f>
        <v>23720.429</v>
      </c>
      <c r="H18" s="103">
        <f t="shared" si="37"/>
        <v>21815.523999999998</v>
      </c>
      <c r="I18" s="103">
        <f t="shared" si="37"/>
        <v>18876.271000000001</v>
      </c>
      <c r="J18" s="103">
        <f t="shared" si="37"/>
        <v>21321.347000000002</v>
      </c>
      <c r="K18" s="103">
        <f t="shared" si="37"/>
        <v>23423.756000000001</v>
      </c>
      <c r="L18" s="103">
        <f t="shared" ref="L18" si="38">SUM(L19:L20)</f>
        <v>23462.948</v>
      </c>
      <c r="M18" s="103">
        <f t="shared" si="37"/>
        <v>27265.041000000001</v>
      </c>
      <c r="N18" s="103">
        <f t="shared" si="37"/>
        <v>151500</v>
      </c>
      <c r="O18" s="105">
        <f t="shared" si="13"/>
        <v>8385.3159999999916</v>
      </c>
      <c r="P18" s="106">
        <f t="shared" ref="P18:P29" si="39">F18/N18*100</f>
        <v>105.53486204620461</v>
      </c>
      <c r="Q18" s="105">
        <f t="shared" si="18"/>
        <v>155458.33333333331</v>
      </c>
      <c r="R18" s="105">
        <f t="shared" si="14"/>
        <v>4426.9826666666777</v>
      </c>
      <c r="S18" s="106">
        <f t="shared" si="15"/>
        <v>102.84769723934603</v>
      </c>
      <c r="T18" s="106">
        <f t="shared" si="19"/>
        <v>59.99449005628518</v>
      </c>
      <c r="U18" s="103">
        <f>U19+U20</f>
        <v>94747.453999999998</v>
      </c>
      <c r="V18" s="105">
        <f t="shared" si="16"/>
        <v>65137.861999999994</v>
      </c>
      <c r="W18" s="106">
        <f t="shared" si="26"/>
        <v>168.74893123777235</v>
      </c>
    </row>
    <row r="19" spans="1:26" s="69" customFormat="1" ht="97.5" x14ac:dyDescent="0.25">
      <c r="A19" s="66" t="s">
        <v>180</v>
      </c>
      <c r="B19" s="137" t="s">
        <v>134</v>
      </c>
      <c r="C19" s="54">
        <v>14040100</v>
      </c>
      <c r="D19" s="103">
        <v>116500</v>
      </c>
      <c r="E19" s="103">
        <v>116500</v>
      </c>
      <c r="F19" s="103">
        <f t="shared" si="17"/>
        <v>95091.113000000012</v>
      </c>
      <c r="G19" s="103">
        <v>13155.423000000001</v>
      </c>
      <c r="H19" s="103">
        <v>13427.713</v>
      </c>
      <c r="I19" s="103">
        <v>11258.771000000001</v>
      </c>
      <c r="J19" s="103">
        <v>13501.348</v>
      </c>
      <c r="K19" s="103">
        <v>13399.839</v>
      </c>
      <c r="L19" s="103">
        <v>13298.172</v>
      </c>
      <c r="M19" s="103">
        <v>17049.847000000002</v>
      </c>
      <c r="N19" s="104">
        <v>89600</v>
      </c>
      <c r="O19" s="105">
        <f t="shared" ref="O19:O21" si="40">F19-N19</f>
        <v>5491.1130000000121</v>
      </c>
      <c r="P19" s="106">
        <f t="shared" ref="P19:P20" si="41">F19/N19*100</f>
        <v>106.12847433035715</v>
      </c>
      <c r="Q19" s="105">
        <f t="shared" si="18"/>
        <v>67958.333333333343</v>
      </c>
      <c r="R19" s="105">
        <f t="shared" ref="R19:R21" si="42">F19-Q19</f>
        <v>27132.779666666669</v>
      </c>
      <c r="S19" s="106">
        <f t="shared" ref="S19:S20" si="43">F19/Q19*100</f>
        <v>139.92561079092582</v>
      </c>
      <c r="T19" s="106">
        <f t="shared" si="19"/>
        <v>81.623272961373402</v>
      </c>
      <c r="U19" s="103">
        <v>13138.816999999999</v>
      </c>
      <c r="V19" s="105">
        <f t="shared" si="16"/>
        <v>81952.296000000017</v>
      </c>
      <c r="W19" s="106">
        <f t="shared" si="26"/>
        <v>723.74181785163773</v>
      </c>
    </row>
    <row r="20" spans="1:26" s="69" customFormat="1" ht="78" x14ac:dyDescent="0.25">
      <c r="A20" s="66" t="s">
        <v>181</v>
      </c>
      <c r="B20" s="137" t="s">
        <v>135</v>
      </c>
      <c r="C20" s="54">
        <v>14040200</v>
      </c>
      <c r="D20" s="103">
        <v>150000</v>
      </c>
      <c r="E20" s="103">
        <v>150000</v>
      </c>
      <c r="F20" s="103">
        <f t="shared" si="17"/>
        <v>64794.202999999994</v>
      </c>
      <c r="G20" s="103">
        <v>10565.005999999999</v>
      </c>
      <c r="H20" s="103">
        <v>8387.8109999999997</v>
      </c>
      <c r="I20" s="103">
        <v>7617.5</v>
      </c>
      <c r="J20" s="103">
        <v>7819.9989999999998</v>
      </c>
      <c r="K20" s="103">
        <v>10023.916999999999</v>
      </c>
      <c r="L20" s="103">
        <v>10164.776</v>
      </c>
      <c r="M20" s="103">
        <v>10215.194</v>
      </c>
      <c r="N20" s="104">
        <v>61900</v>
      </c>
      <c r="O20" s="105">
        <f t="shared" si="40"/>
        <v>2894.2029999999941</v>
      </c>
      <c r="P20" s="106">
        <f t="shared" si="41"/>
        <v>104.67561066235864</v>
      </c>
      <c r="Q20" s="105">
        <f t="shared" si="18"/>
        <v>87500</v>
      </c>
      <c r="R20" s="105">
        <f t="shared" si="42"/>
        <v>-22705.797000000006</v>
      </c>
      <c r="S20" s="106">
        <f t="shared" si="43"/>
        <v>74.050517714285718</v>
      </c>
      <c r="T20" s="106">
        <f t="shared" si="19"/>
        <v>43.196135333333331</v>
      </c>
      <c r="U20" s="103">
        <v>81608.637000000002</v>
      </c>
      <c r="V20" s="105">
        <f t="shared" si="16"/>
        <v>-16814.434000000008</v>
      </c>
      <c r="W20" s="106">
        <f t="shared" si="26"/>
        <v>79.396256795711452</v>
      </c>
    </row>
    <row r="21" spans="1:26" s="87" customFormat="1" ht="23.25" x14ac:dyDescent="0.25">
      <c r="A21" s="61">
        <v>5</v>
      </c>
      <c r="B21" s="70" t="s">
        <v>137</v>
      </c>
      <c r="C21" s="62" t="s">
        <v>138</v>
      </c>
      <c r="D21" s="98">
        <v>0</v>
      </c>
      <c r="E21" s="98">
        <v>0</v>
      </c>
      <c r="F21" s="98">
        <f t="shared" si="17"/>
        <v>1.2E-2</v>
      </c>
      <c r="G21" s="98">
        <v>0</v>
      </c>
      <c r="H21" s="98">
        <v>0</v>
      </c>
      <c r="I21" s="98">
        <v>0</v>
      </c>
      <c r="J21" s="98">
        <v>1.2E-2</v>
      </c>
      <c r="K21" s="98"/>
      <c r="L21" s="98"/>
      <c r="M21" s="98">
        <v>0</v>
      </c>
      <c r="N21" s="100"/>
      <c r="O21" s="101">
        <f t="shared" si="40"/>
        <v>1.2E-2</v>
      </c>
      <c r="P21" s="102"/>
      <c r="Q21" s="101">
        <f t="shared" si="18"/>
        <v>0</v>
      </c>
      <c r="R21" s="101">
        <f t="shared" si="42"/>
        <v>1.2E-2</v>
      </c>
      <c r="S21" s="102"/>
      <c r="T21" s="102"/>
      <c r="U21" s="98">
        <v>6.7789999999999999</v>
      </c>
      <c r="V21" s="101">
        <f t="shared" si="16"/>
        <v>-6.7670000000000003</v>
      </c>
      <c r="W21" s="102"/>
      <c r="X21" s="121"/>
      <c r="Y21" s="121"/>
    </row>
    <row r="22" spans="1:26" s="87" customFormat="1" ht="39" x14ac:dyDescent="0.25">
      <c r="A22" s="61">
        <v>6</v>
      </c>
      <c r="B22" s="70" t="s">
        <v>131</v>
      </c>
      <c r="C22" s="62" t="s">
        <v>38</v>
      </c>
      <c r="D22" s="98">
        <f>D23+D24+D25+D27+D26</f>
        <v>1164164.4849999999</v>
      </c>
      <c r="E22" s="98">
        <f>E23+E24+E25+E27+E26</f>
        <v>1195000.5</v>
      </c>
      <c r="F22" s="98">
        <f t="shared" si="17"/>
        <v>758941.26699999999</v>
      </c>
      <c r="G22" s="98">
        <f t="shared" ref="G22:N22" si="44">G23+G24+G25+G27+G26</f>
        <v>135837.954</v>
      </c>
      <c r="H22" s="98">
        <f t="shared" ref="H22:L22" si="45">H23+H24+H25+H27+H26</f>
        <v>97665.689000000013</v>
      </c>
      <c r="I22" s="98">
        <f t="shared" si="45"/>
        <v>71427.986999999994</v>
      </c>
      <c r="J22" s="98">
        <f t="shared" si="45"/>
        <v>131213.022</v>
      </c>
      <c r="K22" s="98">
        <f t="shared" si="45"/>
        <v>98625.87999999999</v>
      </c>
      <c r="L22" s="98">
        <f t="shared" si="45"/>
        <v>84481.77</v>
      </c>
      <c r="M22" s="98">
        <f t="shared" si="44"/>
        <v>139688.96500000003</v>
      </c>
      <c r="N22" s="100">
        <f t="shared" si="44"/>
        <v>662888.55200000003</v>
      </c>
      <c r="O22" s="101">
        <f t="shared" si="13"/>
        <v>96052.714999999967</v>
      </c>
      <c r="P22" s="102">
        <f t="shared" si="39"/>
        <v>114.490024712329</v>
      </c>
      <c r="Q22" s="101">
        <f t="shared" si="18"/>
        <v>697083.625</v>
      </c>
      <c r="R22" s="101">
        <f t="shared" si="14"/>
        <v>61857.641999999993</v>
      </c>
      <c r="S22" s="102">
        <f t="shared" si="15"/>
        <v>108.87377637080486</v>
      </c>
      <c r="T22" s="102">
        <f t="shared" si="19"/>
        <v>63.509702882969506</v>
      </c>
      <c r="U22" s="98">
        <f t="shared" ref="U22" si="46">U23+U24+U25+U27+U26</f>
        <v>634604.29200000002</v>
      </c>
      <c r="V22" s="101">
        <f t="shared" si="16"/>
        <v>124336.97499999998</v>
      </c>
      <c r="W22" s="102">
        <f t="shared" ref="W22:W27" si="47">F22/U22*100</f>
        <v>119.5928354988182</v>
      </c>
      <c r="X22" s="121">
        <f>U24+U25+U23</f>
        <v>204873.34000000003</v>
      </c>
      <c r="Y22" s="121">
        <f>F23+F24+F25</f>
        <v>269053.739</v>
      </c>
    </row>
    <row r="23" spans="1:26" s="89" customFormat="1" ht="30.75" customHeight="1" x14ac:dyDescent="0.25">
      <c r="A23" s="88" t="s">
        <v>139</v>
      </c>
      <c r="B23" s="138" t="s">
        <v>57</v>
      </c>
      <c r="C23" s="164" t="s">
        <v>44</v>
      </c>
      <c r="D23" s="103">
        <v>121980</v>
      </c>
      <c r="E23" s="103">
        <v>121980</v>
      </c>
      <c r="F23" s="103">
        <f t="shared" si="17"/>
        <v>94366.803</v>
      </c>
      <c r="G23" s="103">
        <v>17215.075000000001</v>
      </c>
      <c r="H23" s="103">
        <v>4947.9979999999996</v>
      </c>
      <c r="I23" s="103">
        <v>6293.1809999999996</v>
      </c>
      <c r="J23" s="103">
        <v>23659.424999999999</v>
      </c>
      <c r="K23" s="103">
        <v>8386.5069999999996</v>
      </c>
      <c r="L23" s="103">
        <v>9446.65</v>
      </c>
      <c r="M23" s="103">
        <v>24417.967000000001</v>
      </c>
      <c r="N23" s="104">
        <v>88455.764999999999</v>
      </c>
      <c r="O23" s="105">
        <f t="shared" si="13"/>
        <v>5911.0380000000005</v>
      </c>
      <c r="P23" s="106">
        <f t="shared" si="39"/>
        <v>106.68247908997226</v>
      </c>
      <c r="Q23" s="120">
        <f t="shared" si="18"/>
        <v>71155</v>
      </c>
      <c r="R23" s="105">
        <f t="shared" si="14"/>
        <v>23211.803</v>
      </c>
      <c r="S23" s="106">
        <f t="shared" si="15"/>
        <v>132.62146440868528</v>
      </c>
      <c r="T23" s="106">
        <f t="shared" si="19"/>
        <v>77.362520905066404</v>
      </c>
      <c r="U23" s="103">
        <v>66409.09</v>
      </c>
      <c r="V23" s="105">
        <f t="shared" si="16"/>
        <v>27957.713000000003</v>
      </c>
      <c r="W23" s="106">
        <f t="shared" si="47"/>
        <v>142.09922617521187</v>
      </c>
    </row>
    <row r="24" spans="1:26" s="89" customFormat="1" ht="30.75" customHeight="1" x14ac:dyDescent="0.25">
      <c r="A24" s="66" t="s">
        <v>140</v>
      </c>
      <c r="B24" s="138" t="s">
        <v>7</v>
      </c>
      <c r="C24" s="164"/>
      <c r="D24" s="103">
        <v>287000</v>
      </c>
      <c r="E24" s="103">
        <v>287000</v>
      </c>
      <c r="F24" s="103">
        <f t="shared" si="17"/>
        <v>173569.533</v>
      </c>
      <c r="G24" s="103">
        <v>17562.599999999999</v>
      </c>
      <c r="H24" s="103">
        <v>25973.133000000002</v>
      </c>
      <c r="I24" s="103">
        <v>24076.474999999999</v>
      </c>
      <c r="J24" s="103">
        <v>25493.025000000001</v>
      </c>
      <c r="K24" s="103">
        <v>26040.036</v>
      </c>
      <c r="L24" s="103">
        <v>27182.236000000001</v>
      </c>
      <c r="M24" s="103">
        <v>27242.027999999998</v>
      </c>
      <c r="N24" s="104">
        <v>163597</v>
      </c>
      <c r="O24" s="105">
        <f t="shared" si="13"/>
        <v>9972.5329999999958</v>
      </c>
      <c r="P24" s="106">
        <f t="shared" si="39"/>
        <v>106.09579209887711</v>
      </c>
      <c r="Q24" s="101">
        <f t="shared" si="18"/>
        <v>167416.66666666669</v>
      </c>
      <c r="R24" s="105">
        <f t="shared" si="14"/>
        <v>6152.8663333333097</v>
      </c>
      <c r="S24" s="106">
        <f t="shared" si="15"/>
        <v>103.67518148332502</v>
      </c>
      <c r="T24" s="106">
        <f t="shared" si="19"/>
        <v>60.477189198606276</v>
      </c>
      <c r="U24" s="103">
        <v>137634.02300000002</v>
      </c>
      <c r="V24" s="105">
        <f t="shared" si="16"/>
        <v>35935.50999999998</v>
      </c>
      <c r="W24" s="106">
        <f t="shared" si="47"/>
        <v>126.10946713371879</v>
      </c>
    </row>
    <row r="25" spans="1:26" s="89" customFormat="1" ht="30.75" customHeight="1" x14ac:dyDescent="0.25">
      <c r="A25" s="66" t="s">
        <v>141</v>
      </c>
      <c r="B25" s="138" t="s">
        <v>58</v>
      </c>
      <c r="C25" s="164"/>
      <c r="D25" s="103">
        <v>1410</v>
      </c>
      <c r="E25" s="103">
        <v>1410</v>
      </c>
      <c r="F25" s="103">
        <f t="shared" si="17"/>
        <v>1117.403</v>
      </c>
      <c r="G25" s="103">
        <v>204.43299999999999</v>
      </c>
      <c r="H25" s="103">
        <v>73.540999999999997</v>
      </c>
      <c r="I25" s="103">
        <v>34.834000000000003</v>
      </c>
      <c r="J25" s="103">
        <v>154.41999999999999</v>
      </c>
      <c r="K25" s="103">
        <v>145.92500000000001</v>
      </c>
      <c r="L25" s="103">
        <v>78</v>
      </c>
      <c r="M25" s="103">
        <v>426.25</v>
      </c>
      <c r="N25" s="104">
        <v>845.7</v>
      </c>
      <c r="O25" s="105">
        <f t="shared" si="13"/>
        <v>271.70299999999997</v>
      </c>
      <c r="P25" s="106">
        <f t="shared" si="39"/>
        <v>132.12758661463874</v>
      </c>
      <c r="Q25" s="101">
        <f t="shared" si="18"/>
        <v>822.5</v>
      </c>
      <c r="R25" s="105">
        <f t="shared" si="14"/>
        <v>294.90300000000002</v>
      </c>
      <c r="S25" s="106">
        <f t="shared" si="15"/>
        <v>135.85446808510639</v>
      </c>
      <c r="T25" s="106">
        <f t="shared" si="19"/>
        <v>79.248439716312063</v>
      </c>
      <c r="U25" s="103">
        <v>830.22699999999998</v>
      </c>
      <c r="V25" s="105">
        <f t="shared" si="16"/>
        <v>287.17600000000004</v>
      </c>
      <c r="W25" s="106">
        <f t="shared" si="47"/>
        <v>134.5900578998274</v>
      </c>
      <c r="X25" s="106">
        <f>100-W25</f>
        <v>-34.5900578998274</v>
      </c>
      <c r="Y25" s="90"/>
      <c r="Z25" s="91" t="e">
        <f>F23/#REF!*100</f>
        <v>#REF!</v>
      </c>
    </row>
    <row r="26" spans="1:26" s="93" customFormat="1" ht="30.75" customHeight="1" x14ac:dyDescent="0.25">
      <c r="A26" s="66" t="s">
        <v>142</v>
      </c>
      <c r="B26" s="138" t="s">
        <v>40</v>
      </c>
      <c r="C26" s="92" t="s">
        <v>39</v>
      </c>
      <c r="D26" s="103">
        <v>2250</v>
      </c>
      <c r="E26" s="103">
        <v>2250</v>
      </c>
      <c r="F26" s="103">
        <f t="shared" si="17"/>
        <v>1305.3589999999999</v>
      </c>
      <c r="G26" s="103">
        <v>138.30099999999999</v>
      </c>
      <c r="H26" s="103">
        <v>277.065</v>
      </c>
      <c r="I26" s="103">
        <v>62.359000000000002</v>
      </c>
      <c r="J26" s="103">
        <v>252.548</v>
      </c>
      <c r="K26" s="103">
        <v>210.529</v>
      </c>
      <c r="L26" s="103">
        <v>93.471000000000004</v>
      </c>
      <c r="M26" s="103">
        <v>271.08600000000001</v>
      </c>
      <c r="N26" s="104">
        <v>1268.1500000000001</v>
      </c>
      <c r="O26" s="105">
        <f t="shared" si="13"/>
        <v>37.208999999999833</v>
      </c>
      <c r="P26" s="106">
        <f t="shared" si="39"/>
        <v>102.93411662658201</v>
      </c>
      <c r="Q26" s="101">
        <f t="shared" si="18"/>
        <v>1312.5</v>
      </c>
      <c r="R26" s="105">
        <f t="shared" si="14"/>
        <v>-7.1410000000000764</v>
      </c>
      <c r="S26" s="106">
        <f t="shared" si="15"/>
        <v>99.45592380952381</v>
      </c>
      <c r="T26" s="106">
        <f t="shared" si="19"/>
        <v>58.015955555555557</v>
      </c>
      <c r="U26" s="103">
        <v>1319.616</v>
      </c>
      <c r="V26" s="103">
        <f t="shared" si="16"/>
        <v>-14.257000000000062</v>
      </c>
      <c r="W26" s="106">
        <f t="shared" si="47"/>
        <v>98.919609947136138</v>
      </c>
    </row>
    <row r="27" spans="1:26" s="89" customFormat="1" ht="30.75" customHeight="1" x14ac:dyDescent="0.25">
      <c r="A27" s="66" t="s">
        <v>143</v>
      </c>
      <c r="B27" s="138" t="s">
        <v>33</v>
      </c>
      <c r="C27" s="146" t="s">
        <v>34</v>
      </c>
      <c r="D27" s="103">
        <v>751524.48499999999</v>
      </c>
      <c r="E27" s="103">
        <v>782360.5</v>
      </c>
      <c r="F27" s="103">
        <f t="shared" si="17"/>
        <v>488582.16899999999</v>
      </c>
      <c r="G27" s="103">
        <v>100717.545</v>
      </c>
      <c r="H27" s="103">
        <v>66393.952000000005</v>
      </c>
      <c r="I27" s="103">
        <v>40961.137999999999</v>
      </c>
      <c r="J27" s="103">
        <v>81653.604000000007</v>
      </c>
      <c r="K27" s="103">
        <v>63842.883000000002</v>
      </c>
      <c r="L27" s="103">
        <v>47681.413</v>
      </c>
      <c r="M27" s="103">
        <v>87331.634000000005</v>
      </c>
      <c r="N27" s="104">
        <v>408721.93699999998</v>
      </c>
      <c r="O27" s="105">
        <f t="shared" si="13"/>
        <v>79860.232000000018</v>
      </c>
      <c r="P27" s="106">
        <f t="shared" si="39"/>
        <v>119.53901290108635</v>
      </c>
      <c r="Q27" s="101">
        <f t="shared" si="18"/>
        <v>456376.95833333337</v>
      </c>
      <c r="R27" s="105">
        <f t="shared" si="14"/>
        <v>32205.210666666622</v>
      </c>
      <c r="S27" s="106">
        <f t="shared" si="15"/>
        <v>107.0567126754774</v>
      </c>
      <c r="T27" s="106">
        <f t="shared" si="19"/>
        <v>62.449749060695169</v>
      </c>
      <c r="U27" s="103">
        <v>428411.33600000001</v>
      </c>
      <c r="V27" s="105">
        <f t="shared" si="16"/>
        <v>60170.832999999984</v>
      </c>
      <c r="W27" s="106">
        <f t="shared" si="47"/>
        <v>114.04510757390416</v>
      </c>
      <c r="Y27" s="90"/>
      <c r="Z27" s="91" t="e">
        <f>F27/#REF!*100</f>
        <v>#REF!</v>
      </c>
    </row>
    <row r="28" spans="1:26" s="65" customFormat="1" ht="39" x14ac:dyDescent="0.25">
      <c r="A28" s="61">
        <v>7</v>
      </c>
      <c r="B28" s="70" t="s">
        <v>46</v>
      </c>
      <c r="C28" s="62" t="s">
        <v>17</v>
      </c>
      <c r="D28" s="98">
        <v>940</v>
      </c>
      <c r="E28" s="98">
        <v>1040</v>
      </c>
      <c r="F28" s="98">
        <f t="shared" si="17"/>
        <v>947.35199999999998</v>
      </c>
      <c r="G28" s="98">
        <v>1.22</v>
      </c>
      <c r="H28" s="98">
        <v>9.2029999999999994</v>
      </c>
      <c r="I28" s="98">
        <v>370.61599999999999</v>
      </c>
      <c r="J28" s="98">
        <v>47.322000000000003</v>
      </c>
      <c r="K28" s="98">
        <v>485.68299999999999</v>
      </c>
      <c r="L28" s="98">
        <v>0.34</v>
      </c>
      <c r="M28" s="98">
        <v>32.968000000000004</v>
      </c>
      <c r="N28" s="100">
        <v>914</v>
      </c>
      <c r="O28" s="101">
        <f t="shared" si="13"/>
        <v>33.351999999999975</v>
      </c>
      <c r="P28" s="102">
        <f t="shared" si="39"/>
        <v>103.64901531728665</v>
      </c>
      <c r="Q28" s="101">
        <f t="shared" si="18"/>
        <v>606.66666666666674</v>
      </c>
      <c r="R28" s="101">
        <f t="shared" si="14"/>
        <v>340.68533333333323</v>
      </c>
      <c r="S28" s="102">
        <f t="shared" si="15"/>
        <v>156.15692307692305</v>
      </c>
      <c r="T28" s="102">
        <f t="shared" si="19"/>
        <v>91.091538461538462</v>
      </c>
      <c r="U28" s="98">
        <v>247.447</v>
      </c>
      <c r="V28" s="101">
        <f t="shared" si="16"/>
        <v>699.90499999999997</v>
      </c>
      <c r="W28" s="102">
        <f>F28/U28*100</f>
        <v>382.85046898931887</v>
      </c>
      <c r="X28" s="64">
        <f>100-W28</f>
        <v>-282.85046898931887</v>
      </c>
    </row>
    <row r="29" spans="1:26" s="65" customFormat="1" ht="23.25" x14ac:dyDescent="0.25">
      <c r="A29" s="61">
        <f t="shared" ref="A29:A37" si="48">A28+1</f>
        <v>8</v>
      </c>
      <c r="B29" s="70" t="s">
        <v>68</v>
      </c>
      <c r="C29" s="62" t="s">
        <v>67</v>
      </c>
      <c r="D29" s="98">
        <v>29000</v>
      </c>
      <c r="E29" s="98">
        <v>30300</v>
      </c>
      <c r="F29" s="98">
        <f t="shared" si="17"/>
        <v>30343.200000000001</v>
      </c>
      <c r="G29" s="98">
        <v>0</v>
      </c>
      <c r="H29" s="98">
        <v>0</v>
      </c>
      <c r="I29" s="98">
        <v>30343.200000000001</v>
      </c>
      <c r="J29" s="98">
        <v>0</v>
      </c>
      <c r="K29" s="98">
        <v>0</v>
      </c>
      <c r="L29" s="98">
        <v>0</v>
      </c>
      <c r="M29" s="98">
        <v>0</v>
      </c>
      <c r="N29" s="100">
        <v>30300</v>
      </c>
      <c r="O29" s="101">
        <f t="shared" si="13"/>
        <v>43.200000000000728</v>
      </c>
      <c r="P29" s="102">
        <f t="shared" si="39"/>
        <v>100.14257425742574</v>
      </c>
      <c r="Q29" s="101">
        <f t="shared" si="18"/>
        <v>17675</v>
      </c>
      <c r="R29" s="101">
        <f t="shared" si="14"/>
        <v>12668.2</v>
      </c>
      <c r="S29" s="102">
        <f t="shared" si="15"/>
        <v>171.67298444130128</v>
      </c>
      <c r="T29" s="102">
        <f t="shared" si="19"/>
        <v>100.14257425742574</v>
      </c>
      <c r="U29" s="98">
        <v>7910.549</v>
      </c>
      <c r="V29" s="101">
        <f t="shared" si="16"/>
        <v>22432.651000000002</v>
      </c>
      <c r="W29" s="102">
        <f>F29/U29*100</f>
        <v>383.578939969906</v>
      </c>
    </row>
    <row r="30" spans="1:26" s="65" customFormat="1" ht="23.25" x14ac:dyDescent="0.25">
      <c r="A30" s="61">
        <f t="shared" si="48"/>
        <v>9</v>
      </c>
      <c r="B30" s="70" t="s">
        <v>8</v>
      </c>
      <c r="C30" s="62" t="s">
        <v>18</v>
      </c>
      <c r="D30" s="98">
        <v>100</v>
      </c>
      <c r="E30" s="98">
        <v>845</v>
      </c>
      <c r="F30" s="98">
        <f t="shared" si="17"/>
        <v>845.92</v>
      </c>
      <c r="G30" s="98">
        <v>87.317999999999998</v>
      </c>
      <c r="H30" s="98">
        <v>69.724000000000004</v>
      </c>
      <c r="I30" s="98">
        <v>430.935</v>
      </c>
      <c r="J30" s="98">
        <v>257.94299999999998</v>
      </c>
      <c r="K30" s="98">
        <v>0</v>
      </c>
      <c r="L30" s="98">
        <v>0</v>
      </c>
      <c r="M30" s="98">
        <v>0</v>
      </c>
      <c r="N30" s="100">
        <v>845</v>
      </c>
      <c r="O30" s="101">
        <f t="shared" si="13"/>
        <v>0.91999999999995907</v>
      </c>
      <c r="P30" s="102">
        <f t="shared" ref="P30:P45" si="49">F30/N30*100</f>
        <v>100.10887573964497</v>
      </c>
      <c r="Q30" s="101">
        <f t="shared" si="18"/>
        <v>492.91666666666669</v>
      </c>
      <c r="R30" s="101">
        <f t="shared" si="14"/>
        <v>353.00333333333327</v>
      </c>
      <c r="S30" s="102">
        <f t="shared" si="15"/>
        <v>171.61521555367707</v>
      </c>
      <c r="T30" s="102">
        <f t="shared" si="19"/>
        <v>100.10887573964497</v>
      </c>
      <c r="U30" s="98">
        <v>8.1129999999999995</v>
      </c>
      <c r="V30" s="101">
        <f t="shared" si="16"/>
        <v>837.80700000000002</v>
      </c>
      <c r="W30" s="102"/>
    </row>
    <row r="31" spans="1:26" s="65" customFormat="1" ht="58.5" x14ac:dyDescent="0.25">
      <c r="A31" s="61">
        <f t="shared" si="48"/>
        <v>10</v>
      </c>
      <c r="B31" s="115" t="s">
        <v>86</v>
      </c>
      <c r="C31" s="83" t="s">
        <v>87</v>
      </c>
      <c r="D31" s="98">
        <v>12</v>
      </c>
      <c r="E31" s="98">
        <v>12</v>
      </c>
      <c r="F31" s="98">
        <f t="shared" si="17"/>
        <v>-10.64</v>
      </c>
      <c r="G31" s="98">
        <v>7.4999999999999997E-2</v>
      </c>
      <c r="H31" s="98">
        <v>0</v>
      </c>
      <c r="I31" s="98">
        <v>-11.85</v>
      </c>
      <c r="J31" s="98">
        <v>0</v>
      </c>
      <c r="K31" s="98">
        <v>1.135</v>
      </c>
      <c r="L31" s="98">
        <v>0</v>
      </c>
      <c r="M31" s="98">
        <v>0</v>
      </c>
      <c r="N31" s="100">
        <v>0</v>
      </c>
      <c r="O31" s="101">
        <f t="shared" si="13"/>
        <v>-10.64</v>
      </c>
      <c r="P31" s="102"/>
      <c r="Q31" s="101">
        <f t="shared" si="18"/>
        <v>7</v>
      </c>
      <c r="R31" s="101">
        <f t="shared" si="14"/>
        <v>-17.64</v>
      </c>
      <c r="S31" s="102">
        <f t="shared" si="15"/>
        <v>-152</v>
      </c>
      <c r="T31" s="102">
        <f t="shared" si="19"/>
        <v>-88.666666666666671</v>
      </c>
      <c r="U31" s="98">
        <v>5.1849999999999996</v>
      </c>
      <c r="V31" s="101">
        <f t="shared" si="16"/>
        <v>-15.824999999999999</v>
      </c>
      <c r="W31" s="102">
        <f t="shared" ref="W31:W44" si="50">F31/U31*100</f>
        <v>-205.20732883317265</v>
      </c>
    </row>
    <row r="32" spans="1:26" s="65" customFormat="1" ht="29.25" customHeight="1" x14ac:dyDescent="0.25">
      <c r="A32" s="61">
        <f t="shared" si="48"/>
        <v>11</v>
      </c>
      <c r="B32" s="111" t="s">
        <v>30</v>
      </c>
      <c r="C32" s="62" t="s">
        <v>24</v>
      </c>
      <c r="D32" s="98">
        <v>10000</v>
      </c>
      <c r="E32" s="98">
        <v>10000</v>
      </c>
      <c r="F32" s="98">
        <f t="shared" si="17"/>
        <v>7907.5779999999995</v>
      </c>
      <c r="G32" s="98">
        <v>808.93100000000004</v>
      </c>
      <c r="H32" s="98">
        <v>945.82899999999995</v>
      </c>
      <c r="I32" s="98">
        <v>1144.22</v>
      </c>
      <c r="J32" s="98">
        <v>1080.778</v>
      </c>
      <c r="K32" s="98">
        <v>1569.3620000000001</v>
      </c>
      <c r="L32" s="98">
        <v>1179.481</v>
      </c>
      <c r="M32" s="98">
        <v>1178.9770000000001</v>
      </c>
      <c r="N32" s="100">
        <v>7485</v>
      </c>
      <c r="O32" s="101">
        <f t="shared" si="13"/>
        <v>422.57799999999952</v>
      </c>
      <c r="P32" s="102">
        <f t="shared" si="49"/>
        <v>105.64566466265863</v>
      </c>
      <c r="Q32" s="101">
        <f t="shared" si="18"/>
        <v>5833.3333333333339</v>
      </c>
      <c r="R32" s="101">
        <f t="shared" si="14"/>
        <v>2074.2446666666656</v>
      </c>
      <c r="S32" s="102">
        <f t="shared" si="15"/>
        <v>135.55847999999997</v>
      </c>
      <c r="T32" s="102">
        <f t="shared" si="19"/>
        <v>79.075779999999995</v>
      </c>
      <c r="U32" s="98">
        <v>4684.7929999999997</v>
      </c>
      <c r="V32" s="101">
        <f t="shared" si="16"/>
        <v>3222.7849999999999</v>
      </c>
      <c r="W32" s="102">
        <f t="shared" si="50"/>
        <v>168.7924738617053</v>
      </c>
      <c r="X32" s="64">
        <f>100-W32</f>
        <v>-68.792473861705304</v>
      </c>
    </row>
    <row r="33" spans="1:27" s="65" customFormat="1" ht="39" x14ac:dyDescent="0.25">
      <c r="A33" s="61">
        <f t="shared" si="48"/>
        <v>12</v>
      </c>
      <c r="B33" s="111" t="s">
        <v>78</v>
      </c>
      <c r="C33" s="62" t="s">
        <v>77</v>
      </c>
      <c r="D33" s="98">
        <v>450</v>
      </c>
      <c r="E33" s="98">
        <v>450</v>
      </c>
      <c r="F33" s="98">
        <f t="shared" si="17"/>
        <v>431.04399999999998</v>
      </c>
      <c r="G33" s="98">
        <v>26</v>
      </c>
      <c r="H33" s="98">
        <v>107</v>
      </c>
      <c r="I33" s="98">
        <v>33.244999999999997</v>
      </c>
      <c r="J33" s="98">
        <v>31.8</v>
      </c>
      <c r="K33" s="98">
        <v>103.499</v>
      </c>
      <c r="L33" s="98">
        <v>83.5</v>
      </c>
      <c r="M33" s="98">
        <v>46</v>
      </c>
      <c r="N33" s="100">
        <v>417.4</v>
      </c>
      <c r="O33" s="101">
        <f t="shared" si="13"/>
        <v>13.644000000000005</v>
      </c>
      <c r="P33" s="102">
        <f t="shared" si="49"/>
        <v>103.26880689985624</v>
      </c>
      <c r="Q33" s="101">
        <f t="shared" si="18"/>
        <v>262.5</v>
      </c>
      <c r="R33" s="101">
        <f t="shared" si="14"/>
        <v>168.54399999999998</v>
      </c>
      <c r="S33" s="102">
        <f t="shared" si="15"/>
        <v>164.2072380952381</v>
      </c>
      <c r="T33" s="102">
        <f t="shared" si="19"/>
        <v>95.787555555555542</v>
      </c>
      <c r="U33" s="98">
        <v>179.27199999999999</v>
      </c>
      <c r="V33" s="101">
        <f t="shared" si="16"/>
        <v>251.77199999999999</v>
      </c>
      <c r="W33" s="102">
        <f t="shared" si="50"/>
        <v>240.44134053282161</v>
      </c>
    </row>
    <row r="34" spans="1:27" s="65" customFormat="1" ht="33" customHeight="1" x14ac:dyDescent="0.25">
      <c r="A34" s="61">
        <f t="shared" si="48"/>
        <v>13</v>
      </c>
      <c r="B34" s="111" t="s">
        <v>104</v>
      </c>
      <c r="C34" s="62" t="s">
        <v>105</v>
      </c>
      <c r="D34" s="98">
        <v>17700</v>
      </c>
      <c r="E34" s="98">
        <v>17700</v>
      </c>
      <c r="F34" s="98">
        <f t="shared" si="17"/>
        <v>11734.468000000001</v>
      </c>
      <c r="G34" s="98">
        <v>1414.5129999999999</v>
      </c>
      <c r="H34" s="98">
        <v>1797.0060000000001</v>
      </c>
      <c r="I34" s="98">
        <v>1830.355</v>
      </c>
      <c r="J34" s="98">
        <v>1762.269</v>
      </c>
      <c r="K34" s="98">
        <v>1736.9860000000001</v>
      </c>
      <c r="L34" s="98">
        <v>1563.895</v>
      </c>
      <c r="M34" s="98">
        <v>1629.444</v>
      </c>
      <c r="N34" s="100">
        <v>11550</v>
      </c>
      <c r="O34" s="101">
        <f t="shared" si="13"/>
        <v>184.46800000000076</v>
      </c>
      <c r="P34" s="102">
        <f t="shared" si="49"/>
        <v>101.59712554112555</v>
      </c>
      <c r="Q34" s="101">
        <f t="shared" si="18"/>
        <v>10325</v>
      </c>
      <c r="R34" s="101">
        <f t="shared" si="14"/>
        <v>1409.4680000000008</v>
      </c>
      <c r="S34" s="102">
        <f t="shared" si="15"/>
        <v>113.65102179176756</v>
      </c>
      <c r="T34" s="102">
        <f t="shared" si="19"/>
        <v>66.296429378531073</v>
      </c>
      <c r="U34" s="98">
        <v>10581.373999999998</v>
      </c>
      <c r="V34" s="101">
        <f t="shared" si="16"/>
        <v>1153.0940000000028</v>
      </c>
      <c r="W34" s="102">
        <f t="shared" si="50"/>
        <v>110.89739385452214</v>
      </c>
    </row>
    <row r="35" spans="1:27" s="65" customFormat="1" ht="58.5" x14ac:dyDescent="0.25">
      <c r="A35" s="61">
        <f>A34+1</f>
        <v>14</v>
      </c>
      <c r="B35" s="111" t="s">
        <v>153</v>
      </c>
      <c r="C35" s="62" t="s">
        <v>152</v>
      </c>
      <c r="D35" s="98">
        <v>0</v>
      </c>
      <c r="E35" s="98">
        <v>1600</v>
      </c>
      <c r="F35" s="98">
        <f t="shared" si="17"/>
        <v>1933.7979999999998</v>
      </c>
      <c r="G35" s="98">
        <v>0</v>
      </c>
      <c r="H35" s="98">
        <v>501.57299999999998</v>
      </c>
      <c r="I35" s="98">
        <v>891.15099999999995</v>
      </c>
      <c r="J35" s="98">
        <v>30.734000000000002</v>
      </c>
      <c r="K35" s="98">
        <v>54.744999999999997</v>
      </c>
      <c r="L35" s="98">
        <v>92.102000000000004</v>
      </c>
      <c r="M35" s="98">
        <v>363.49299999999999</v>
      </c>
      <c r="N35" s="100">
        <v>1600</v>
      </c>
      <c r="O35" s="101">
        <f t="shared" si="13"/>
        <v>333.79799999999977</v>
      </c>
      <c r="P35" s="102">
        <f t="shared" si="49"/>
        <v>120.86237499999999</v>
      </c>
      <c r="Q35" s="101">
        <f t="shared" si="18"/>
        <v>933.33333333333337</v>
      </c>
      <c r="R35" s="101">
        <f t="shared" si="14"/>
        <v>1000.4646666666664</v>
      </c>
      <c r="S35" s="102">
        <f t="shared" ref="S35" si="51">F35/Q35*100</f>
        <v>207.1926428571428</v>
      </c>
      <c r="T35" s="102">
        <f t="shared" ref="T35" si="52">F35/E35*100</f>
        <v>120.86237499999999</v>
      </c>
      <c r="U35" s="98">
        <v>0</v>
      </c>
      <c r="V35" s="101">
        <f t="shared" si="16"/>
        <v>1933.7979999999998</v>
      </c>
      <c r="W35" s="102"/>
    </row>
    <row r="36" spans="1:27" s="65" customFormat="1" ht="78" x14ac:dyDescent="0.25">
      <c r="A36" s="61">
        <f t="shared" si="48"/>
        <v>15</v>
      </c>
      <c r="B36" s="111" t="s">
        <v>128</v>
      </c>
      <c r="C36" s="62" t="s">
        <v>129</v>
      </c>
      <c r="D36" s="98">
        <v>58</v>
      </c>
      <c r="E36" s="98">
        <v>58</v>
      </c>
      <c r="F36" s="98">
        <f t="shared" si="17"/>
        <v>28.797999999999998</v>
      </c>
      <c r="G36" s="98">
        <v>1.99</v>
      </c>
      <c r="H36" s="98">
        <v>5.36</v>
      </c>
      <c r="I36" s="98">
        <v>2.0099999999999998</v>
      </c>
      <c r="J36" s="98">
        <v>2.68</v>
      </c>
      <c r="K36" s="98">
        <v>6.03</v>
      </c>
      <c r="L36" s="98">
        <v>2.0099999999999998</v>
      </c>
      <c r="M36" s="98">
        <v>8.718</v>
      </c>
      <c r="N36" s="100">
        <v>27</v>
      </c>
      <c r="O36" s="101">
        <f t="shared" si="13"/>
        <v>1.7979999999999983</v>
      </c>
      <c r="P36" s="102">
        <f t="shared" si="49"/>
        <v>106.65925925925926</v>
      </c>
      <c r="Q36" s="101">
        <f t="shared" si="18"/>
        <v>33.833333333333329</v>
      </c>
      <c r="R36" s="101">
        <f t="shared" ref="R36" si="53">F36-Q36</f>
        <v>-5.0353333333333303</v>
      </c>
      <c r="S36" s="102">
        <f>F36/Q36*100</f>
        <v>85.117241379310343</v>
      </c>
      <c r="T36" s="102">
        <f t="shared" si="19"/>
        <v>49.651724137931033</v>
      </c>
      <c r="U36" s="98">
        <v>31.773999999999997</v>
      </c>
      <c r="V36" s="101">
        <f t="shared" ref="V36" si="54">F36-U36</f>
        <v>-2.9759999999999991</v>
      </c>
      <c r="W36" s="102">
        <f t="shared" ref="W36" si="55">F36/U36*100</f>
        <v>90.633851576760875</v>
      </c>
    </row>
    <row r="37" spans="1:27" s="65" customFormat="1" ht="32.25" customHeight="1" x14ac:dyDescent="0.25">
      <c r="A37" s="61">
        <f t="shared" si="48"/>
        <v>16</v>
      </c>
      <c r="B37" s="111" t="s">
        <v>80</v>
      </c>
      <c r="C37" s="62" t="s">
        <v>79</v>
      </c>
      <c r="D37" s="98">
        <f>SUM(D38:D41)</f>
        <v>43825</v>
      </c>
      <c r="E37" s="98">
        <f>SUM(E38:E41)</f>
        <v>43834</v>
      </c>
      <c r="F37" s="98">
        <f t="shared" si="17"/>
        <v>23433.67</v>
      </c>
      <c r="G37" s="98">
        <f t="shared" ref="G37:N37" si="56">SUM(G38:G41)</f>
        <v>2787.4590000000003</v>
      </c>
      <c r="H37" s="98">
        <f t="shared" ref="H37:L37" si="57">SUM(H38:H41)</f>
        <v>3000.232</v>
      </c>
      <c r="I37" s="98">
        <f t="shared" si="57"/>
        <v>3380.7479999999996</v>
      </c>
      <c r="J37" s="98">
        <f t="shared" si="57"/>
        <v>2782.9470000000006</v>
      </c>
      <c r="K37" s="98">
        <f t="shared" si="57"/>
        <v>3854.3329999999996</v>
      </c>
      <c r="L37" s="98">
        <f t="shared" si="57"/>
        <v>3910.6880000000001</v>
      </c>
      <c r="M37" s="98">
        <f t="shared" si="56"/>
        <v>3717.2630000000004</v>
      </c>
      <c r="N37" s="100">
        <f t="shared" si="56"/>
        <v>22696.400000000001</v>
      </c>
      <c r="O37" s="101">
        <f t="shared" si="13"/>
        <v>737.2699999999968</v>
      </c>
      <c r="P37" s="102">
        <f t="shared" si="49"/>
        <v>103.24840062741228</v>
      </c>
      <c r="Q37" s="101">
        <f t="shared" si="18"/>
        <v>25569.833333333336</v>
      </c>
      <c r="R37" s="101">
        <f t="shared" si="14"/>
        <v>-2136.1633333333375</v>
      </c>
      <c r="S37" s="102">
        <f t="shared" si="15"/>
        <v>91.645767473389853</v>
      </c>
      <c r="T37" s="102">
        <f t="shared" si="19"/>
        <v>53.460031026144087</v>
      </c>
      <c r="U37" s="98">
        <f t="shared" ref="U37" si="58">SUM(U38:U41)</f>
        <v>24515.615000000002</v>
      </c>
      <c r="V37" s="101">
        <f t="shared" si="16"/>
        <v>-1081.9450000000033</v>
      </c>
      <c r="W37" s="102">
        <f t="shared" si="50"/>
        <v>95.58671075557352</v>
      </c>
    </row>
    <row r="38" spans="1:27" s="69" customFormat="1" ht="39" x14ac:dyDescent="0.25">
      <c r="A38" s="66" t="s">
        <v>154</v>
      </c>
      <c r="B38" s="112" t="s">
        <v>72</v>
      </c>
      <c r="C38" s="146" t="s">
        <v>71</v>
      </c>
      <c r="D38" s="103">
        <v>1100</v>
      </c>
      <c r="E38" s="103">
        <v>1100</v>
      </c>
      <c r="F38" s="103">
        <f t="shared" si="17"/>
        <v>860.46000000000015</v>
      </c>
      <c r="G38" s="103">
        <v>84.753</v>
      </c>
      <c r="H38" s="103">
        <v>114.929</v>
      </c>
      <c r="I38" s="103">
        <v>107.158</v>
      </c>
      <c r="J38" s="103">
        <v>110.23</v>
      </c>
      <c r="K38" s="103">
        <v>103.432</v>
      </c>
      <c r="L38" s="103">
        <v>196.40600000000001</v>
      </c>
      <c r="M38" s="103">
        <v>143.55199999999999</v>
      </c>
      <c r="N38" s="104">
        <v>821</v>
      </c>
      <c r="O38" s="105">
        <f t="shared" si="13"/>
        <v>39.46000000000015</v>
      </c>
      <c r="P38" s="106">
        <f t="shared" si="49"/>
        <v>104.80633373934229</v>
      </c>
      <c r="Q38" s="101">
        <f t="shared" si="18"/>
        <v>641.66666666666674</v>
      </c>
      <c r="R38" s="105">
        <f t="shared" si="14"/>
        <v>218.79333333333341</v>
      </c>
      <c r="S38" s="106">
        <f t="shared" si="15"/>
        <v>134.09766233766234</v>
      </c>
      <c r="T38" s="106">
        <f t="shared" si="19"/>
        <v>78.223636363636373</v>
      </c>
      <c r="U38" s="103">
        <v>508.08600000000001</v>
      </c>
      <c r="V38" s="105">
        <f t="shared" si="16"/>
        <v>352.37400000000014</v>
      </c>
      <c r="W38" s="106">
        <f t="shared" si="50"/>
        <v>169.35321973051808</v>
      </c>
      <c r="X38" s="106">
        <f>W38-100</f>
        <v>69.353219730518077</v>
      </c>
      <c r="Y38" s="67"/>
    </row>
    <row r="39" spans="1:27" s="69" customFormat="1" ht="33" customHeight="1" x14ac:dyDescent="0.25">
      <c r="A39" s="66" t="s">
        <v>155</v>
      </c>
      <c r="B39" s="113" t="s">
        <v>59</v>
      </c>
      <c r="C39" s="54" t="s">
        <v>60</v>
      </c>
      <c r="D39" s="103">
        <v>42000</v>
      </c>
      <c r="E39" s="103">
        <v>42000</v>
      </c>
      <c r="F39" s="103">
        <f t="shared" si="17"/>
        <v>22052.263999999996</v>
      </c>
      <c r="G39" s="103">
        <v>2625.3359999999998</v>
      </c>
      <c r="H39" s="103">
        <v>2807.0549999999998</v>
      </c>
      <c r="I39" s="103">
        <v>3209.8519999999999</v>
      </c>
      <c r="J39" s="103">
        <v>2617.3290000000002</v>
      </c>
      <c r="K39" s="103">
        <v>3674.4009999999998</v>
      </c>
      <c r="L39" s="103">
        <v>3636.848</v>
      </c>
      <c r="M39" s="103">
        <v>3481.4430000000002</v>
      </c>
      <c r="N39" s="104">
        <v>21400</v>
      </c>
      <c r="O39" s="105">
        <f t="shared" si="13"/>
        <v>652.26399999999558</v>
      </c>
      <c r="P39" s="106">
        <f t="shared" si="49"/>
        <v>103.0479626168224</v>
      </c>
      <c r="Q39" s="101">
        <f t="shared" si="18"/>
        <v>24500</v>
      </c>
      <c r="R39" s="105">
        <f t="shared" si="14"/>
        <v>-2447.7360000000044</v>
      </c>
      <c r="S39" s="106">
        <f t="shared" si="15"/>
        <v>90.009240816326511</v>
      </c>
      <c r="T39" s="106">
        <f t="shared" si="19"/>
        <v>52.505390476190463</v>
      </c>
      <c r="U39" s="103">
        <v>23638.510000000002</v>
      </c>
      <c r="V39" s="105">
        <f t="shared" si="16"/>
        <v>-1586.2460000000065</v>
      </c>
      <c r="W39" s="106">
        <f t="shared" si="50"/>
        <v>93.289568589559977</v>
      </c>
      <c r="X39" s="106">
        <f>W39-100</f>
        <v>-6.7104314104400231</v>
      </c>
      <c r="Y39" s="68"/>
    </row>
    <row r="40" spans="1:27" s="69" customFormat="1" ht="39" x14ac:dyDescent="0.25">
      <c r="A40" s="66" t="s">
        <v>156</v>
      </c>
      <c r="B40" s="113" t="s">
        <v>76</v>
      </c>
      <c r="C40" s="54" t="s">
        <v>73</v>
      </c>
      <c r="D40" s="103">
        <v>680</v>
      </c>
      <c r="E40" s="103">
        <v>680</v>
      </c>
      <c r="F40" s="103">
        <f t="shared" si="17"/>
        <v>439.596</v>
      </c>
      <c r="G40" s="103">
        <v>73.34</v>
      </c>
      <c r="H40" s="103">
        <v>51.128</v>
      </c>
      <c r="I40" s="103">
        <v>60.787999999999997</v>
      </c>
      <c r="J40" s="103">
        <v>51.357999999999997</v>
      </c>
      <c r="K40" s="103">
        <v>72.23</v>
      </c>
      <c r="L40" s="103">
        <v>66.144000000000005</v>
      </c>
      <c r="M40" s="103">
        <v>64.608000000000004</v>
      </c>
      <c r="N40" s="104">
        <v>421.4</v>
      </c>
      <c r="O40" s="105">
        <f t="shared" si="13"/>
        <v>18.196000000000026</v>
      </c>
      <c r="P40" s="106">
        <f t="shared" si="49"/>
        <v>104.31798766018036</v>
      </c>
      <c r="Q40" s="101">
        <f t="shared" si="18"/>
        <v>396.66666666666663</v>
      </c>
      <c r="R40" s="105">
        <f t="shared" si="14"/>
        <v>42.929333333333375</v>
      </c>
      <c r="S40" s="106">
        <f t="shared" si="15"/>
        <v>110.82252100840337</v>
      </c>
      <c r="T40" s="106">
        <f t="shared" si="19"/>
        <v>64.646470588235289</v>
      </c>
      <c r="U40" s="103">
        <v>345.10899999999998</v>
      </c>
      <c r="V40" s="105">
        <f t="shared" si="16"/>
        <v>94.487000000000023</v>
      </c>
      <c r="W40" s="106">
        <f t="shared" si="50"/>
        <v>127.37888609106109</v>
      </c>
    </row>
    <row r="41" spans="1:27" s="69" customFormat="1" ht="97.5" x14ac:dyDescent="0.25">
      <c r="A41" s="66" t="s">
        <v>157</v>
      </c>
      <c r="B41" s="114" t="s">
        <v>75</v>
      </c>
      <c r="C41" s="54" t="s">
        <v>74</v>
      </c>
      <c r="D41" s="103">
        <v>45</v>
      </c>
      <c r="E41" s="103">
        <v>54</v>
      </c>
      <c r="F41" s="103">
        <f t="shared" si="17"/>
        <v>81.350000000000009</v>
      </c>
      <c r="G41" s="103">
        <v>4.03</v>
      </c>
      <c r="H41" s="103">
        <v>27.12</v>
      </c>
      <c r="I41" s="103">
        <v>2.95</v>
      </c>
      <c r="J41" s="103">
        <v>4.03</v>
      </c>
      <c r="K41" s="103">
        <v>4.2699999999999996</v>
      </c>
      <c r="L41" s="103">
        <v>11.29</v>
      </c>
      <c r="M41" s="103">
        <v>27.66</v>
      </c>
      <c r="N41" s="104">
        <v>54</v>
      </c>
      <c r="O41" s="105">
        <f t="shared" si="13"/>
        <v>27.350000000000009</v>
      </c>
      <c r="P41" s="106">
        <f t="shared" si="49"/>
        <v>150.64814814814815</v>
      </c>
      <c r="Q41" s="101">
        <f t="shared" si="18"/>
        <v>31.5</v>
      </c>
      <c r="R41" s="105">
        <f t="shared" si="14"/>
        <v>49.850000000000009</v>
      </c>
      <c r="S41" s="106">
        <f t="shared" si="15"/>
        <v>258.25396825396825</v>
      </c>
      <c r="T41" s="106">
        <f t="shared" si="19"/>
        <v>150.64814814814815</v>
      </c>
      <c r="U41" s="103">
        <v>23.909999999999997</v>
      </c>
      <c r="V41" s="105">
        <f t="shared" si="16"/>
        <v>57.440000000000012</v>
      </c>
      <c r="W41" s="106">
        <f t="shared" si="50"/>
        <v>340.23421162693444</v>
      </c>
    </row>
    <row r="42" spans="1:27" s="65" customFormat="1" ht="39" x14ac:dyDescent="0.25">
      <c r="A42" s="61">
        <v>16</v>
      </c>
      <c r="B42" s="144" t="s">
        <v>35</v>
      </c>
      <c r="C42" s="62" t="s">
        <v>19</v>
      </c>
      <c r="D42" s="98">
        <v>12000</v>
      </c>
      <c r="E42" s="98">
        <v>12000</v>
      </c>
      <c r="F42" s="98">
        <f t="shared" si="17"/>
        <v>10500.163999999999</v>
      </c>
      <c r="G42" s="98">
        <v>3396.0749999999998</v>
      </c>
      <c r="H42" s="98">
        <v>827.53700000000003</v>
      </c>
      <c r="I42" s="98">
        <v>1208.2950000000001</v>
      </c>
      <c r="J42" s="98">
        <v>1576.239</v>
      </c>
      <c r="K42" s="98">
        <v>1289.481</v>
      </c>
      <c r="L42" s="98">
        <v>1372.46</v>
      </c>
      <c r="M42" s="98">
        <v>830.077</v>
      </c>
      <c r="N42" s="100">
        <v>10495</v>
      </c>
      <c r="O42" s="101">
        <f t="shared" si="13"/>
        <v>5.1639999999988504</v>
      </c>
      <c r="P42" s="102">
        <f t="shared" si="49"/>
        <v>100.04920438303952</v>
      </c>
      <c r="Q42" s="101">
        <f t="shared" si="18"/>
        <v>7000</v>
      </c>
      <c r="R42" s="101">
        <f t="shared" si="14"/>
        <v>3500.1639999999989</v>
      </c>
      <c r="S42" s="102">
        <f t="shared" si="15"/>
        <v>150.00234285714285</v>
      </c>
      <c r="T42" s="102">
        <f t="shared" si="19"/>
        <v>87.501366666666655</v>
      </c>
      <c r="U42" s="98">
        <v>6587.5649999999996</v>
      </c>
      <c r="V42" s="101">
        <f t="shared" si="16"/>
        <v>3912.5989999999993</v>
      </c>
      <c r="W42" s="102">
        <f t="shared" si="50"/>
        <v>159.3937061721592</v>
      </c>
    </row>
    <row r="43" spans="1:27" s="65" customFormat="1" ht="32.25" customHeight="1" x14ac:dyDescent="0.25">
      <c r="A43" s="61">
        <f t="shared" ref="A43:A49" si="59">A42+1</f>
        <v>17</v>
      </c>
      <c r="B43" s="70" t="s">
        <v>54</v>
      </c>
      <c r="C43" s="62" t="s">
        <v>15</v>
      </c>
      <c r="D43" s="98">
        <v>405.2</v>
      </c>
      <c r="E43" s="98">
        <v>545.20000000000005</v>
      </c>
      <c r="F43" s="98">
        <f t="shared" si="17"/>
        <v>582.45500000000004</v>
      </c>
      <c r="G43" s="98">
        <v>22.706</v>
      </c>
      <c r="H43" s="98">
        <v>55.402000000000001</v>
      </c>
      <c r="I43" s="98">
        <v>176.16900000000001</v>
      </c>
      <c r="J43" s="98">
        <v>42.792000000000002</v>
      </c>
      <c r="K43" s="98">
        <v>37.798999999999999</v>
      </c>
      <c r="L43" s="98">
        <v>154.74600000000001</v>
      </c>
      <c r="M43" s="98">
        <v>92.840999999999994</v>
      </c>
      <c r="N43" s="100">
        <v>515.6</v>
      </c>
      <c r="O43" s="101">
        <f t="shared" si="13"/>
        <v>66.855000000000018</v>
      </c>
      <c r="P43" s="102">
        <f t="shared" si="49"/>
        <v>112.96644685802949</v>
      </c>
      <c r="Q43" s="101">
        <f t="shared" si="18"/>
        <v>318.03333333333336</v>
      </c>
      <c r="R43" s="101">
        <f t="shared" si="14"/>
        <v>264.42166666666668</v>
      </c>
      <c r="S43" s="102">
        <f t="shared" si="15"/>
        <v>183.14275233204066</v>
      </c>
      <c r="T43" s="102">
        <f t="shared" si="19"/>
        <v>106.83327219369039</v>
      </c>
      <c r="U43" s="98">
        <v>187.988</v>
      </c>
      <c r="V43" s="101">
        <f t="shared" si="16"/>
        <v>394.46700000000004</v>
      </c>
      <c r="W43" s="102">
        <f t="shared" si="50"/>
        <v>309.83626614464754</v>
      </c>
      <c r="X43" s="64">
        <f>100-W43</f>
        <v>-209.83626614464754</v>
      </c>
    </row>
    <row r="44" spans="1:27" s="65" customFormat="1" ht="78" x14ac:dyDescent="0.25">
      <c r="A44" s="61">
        <f t="shared" si="59"/>
        <v>18</v>
      </c>
      <c r="B44" s="70" t="s">
        <v>92</v>
      </c>
      <c r="C44" s="62" t="s">
        <v>91</v>
      </c>
      <c r="D44" s="98">
        <v>24</v>
      </c>
      <c r="E44" s="98">
        <v>24</v>
      </c>
      <c r="F44" s="98">
        <f t="shared" si="17"/>
        <v>7.9710000000000001</v>
      </c>
      <c r="G44" s="98">
        <v>2.472</v>
      </c>
      <c r="H44" s="98">
        <v>0</v>
      </c>
      <c r="I44" s="98">
        <v>0</v>
      </c>
      <c r="J44" s="98">
        <v>4.8090000000000002</v>
      </c>
      <c r="K44" s="98">
        <v>0</v>
      </c>
      <c r="L44" s="98">
        <v>0</v>
      </c>
      <c r="M44" s="98">
        <v>0.69</v>
      </c>
      <c r="N44" s="100">
        <v>7.2809999999999997</v>
      </c>
      <c r="O44" s="101">
        <f t="shared" si="13"/>
        <v>0.69000000000000039</v>
      </c>
      <c r="P44" s="102">
        <f t="shared" si="49"/>
        <v>109.47672023073753</v>
      </c>
      <c r="Q44" s="101">
        <f t="shared" si="18"/>
        <v>14</v>
      </c>
      <c r="R44" s="101">
        <f t="shared" si="14"/>
        <v>-6.0289999999999999</v>
      </c>
      <c r="S44" s="102">
        <f t="shared" si="15"/>
        <v>56.93571428571429</v>
      </c>
      <c r="T44" s="102">
        <f t="shared" si="19"/>
        <v>33.212499999999999</v>
      </c>
      <c r="U44" s="98">
        <v>13.12</v>
      </c>
      <c r="V44" s="101">
        <f t="shared" si="16"/>
        <v>-5.1489999999999991</v>
      </c>
      <c r="W44" s="102">
        <f t="shared" si="50"/>
        <v>60.75457317073171</v>
      </c>
    </row>
    <row r="45" spans="1:27" s="65" customFormat="1" ht="33" customHeight="1" x14ac:dyDescent="0.25">
      <c r="A45" s="61">
        <f t="shared" si="59"/>
        <v>19</v>
      </c>
      <c r="B45" s="86" t="s">
        <v>61</v>
      </c>
      <c r="C45" s="33" t="s">
        <v>62</v>
      </c>
      <c r="D45" s="98">
        <v>270</v>
      </c>
      <c r="E45" s="98">
        <v>370</v>
      </c>
      <c r="F45" s="98">
        <f t="shared" si="17"/>
        <v>369.09899999999999</v>
      </c>
      <c r="G45" s="98">
        <v>0</v>
      </c>
      <c r="H45" s="98">
        <v>0</v>
      </c>
      <c r="I45" s="98">
        <v>2.3719999999999999</v>
      </c>
      <c r="J45" s="98">
        <v>0</v>
      </c>
      <c r="K45" s="98">
        <v>0</v>
      </c>
      <c r="L45" s="98">
        <v>366.72699999999998</v>
      </c>
      <c r="M45" s="98">
        <v>0</v>
      </c>
      <c r="N45" s="100">
        <v>368.3</v>
      </c>
      <c r="O45" s="101">
        <f t="shared" si="13"/>
        <v>0.79899999999997817</v>
      </c>
      <c r="P45" s="102">
        <f t="shared" si="49"/>
        <v>100.21694270974749</v>
      </c>
      <c r="Q45" s="101">
        <f t="shared" si="18"/>
        <v>215.83333333333331</v>
      </c>
      <c r="R45" s="101">
        <f t="shared" si="14"/>
        <v>153.26566666666668</v>
      </c>
      <c r="S45" s="102">
        <f t="shared" ref="S45:S50" si="60">F45/Q45*100</f>
        <v>171.01111969111972</v>
      </c>
      <c r="T45" s="102">
        <f t="shared" si="19"/>
        <v>99.75648648648648</v>
      </c>
      <c r="U45" s="98">
        <v>0</v>
      </c>
      <c r="V45" s="101">
        <f t="shared" si="16"/>
        <v>369.09899999999999</v>
      </c>
      <c r="W45" s="102"/>
    </row>
    <row r="46" spans="1:27" s="65" customFormat="1" ht="30.75" customHeight="1" x14ac:dyDescent="0.25">
      <c r="A46" s="61">
        <f t="shared" si="59"/>
        <v>20</v>
      </c>
      <c r="B46" s="70" t="s">
        <v>8</v>
      </c>
      <c r="C46" s="62" t="s">
        <v>20</v>
      </c>
      <c r="D46" s="98">
        <v>1700</v>
      </c>
      <c r="E46" s="98">
        <v>2200</v>
      </c>
      <c r="F46" s="98">
        <f t="shared" si="17"/>
        <v>2392.6660000000002</v>
      </c>
      <c r="G46" s="98">
        <v>255.631</v>
      </c>
      <c r="H46" s="98">
        <v>306.07900000000001</v>
      </c>
      <c r="I46" s="98">
        <v>239.01900000000001</v>
      </c>
      <c r="J46" s="98">
        <v>242.27799999999999</v>
      </c>
      <c r="K46" s="98">
        <v>732.68399999999997</v>
      </c>
      <c r="L46" s="98">
        <v>234.667</v>
      </c>
      <c r="M46" s="98">
        <v>382.30799999999999</v>
      </c>
      <c r="N46" s="100">
        <v>2200</v>
      </c>
      <c r="O46" s="101">
        <f t="shared" ref="O46:O66" si="61">F46-N46</f>
        <v>192.66600000000017</v>
      </c>
      <c r="P46" s="102">
        <f>F46/N46*100</f>
        <v>108.75754545454545</v>
      </c>
      <c r="Q46" s="101">
        <f t="shared" si="18"/>
        <v>1283.3333333333335</v>
      </c>
      <c r="R46" s="101">
        <f t="shared" ref="R46:R66" si="62">F46-Q46</f>
        <v>1109.3326666666667</v>
      </c>
      <c r="S46" s="102">
        <f t="shared" si="60"/>
        <v>186.44150649350649</v>
      </c>
      <c r="T46" s="102">
        <f t="shared" si="19"/>
        <v>108.75754545454545</v>
      </c>
      <c r="U46" s="98">
        <v>614.30799999999999</v>
      </c>
      <c r="V46" s="101">
        <f t="shared" ref="V46:V66" si="63">F46-U46</f>
        <v>1778.3580000000002</v>
      </c>
      <c r="W46" s="102">
        <f>F46/U46*100</f>
        <v>389.48963712014171</v>
      </c>
      <c r="AA46" s="65">
        <v>246438.04</v>
      </c>
    </row>
    <row r="47" spans="1:27" s="65" customFormat="1" ht="120" customHeight="1" x14ac:dyDescent="0.25">
      <c r="A47" s="61">
        <f t="shared" si="59"/>
        <v>21</v>
      </c>
      <c r="B47" s="70" t="s">
        <v>53</v>
      </c>
      <c r="C47" s="62" t="s">
        <v>47</v>
      </c>
      <c r="D47" s="98">
        <v>2000</v>
      </c>
      <c r="E47" s="98">
        <v>6500</v>
      </c>
      <c r="F47" s="98">
        <f t="shared" si="17"/>
        <v>7153.3399999999992</v>
      </c>
      <c r="G47" s="98">
        <v>1130.5809999999999</v>
      </c>
      <c r="H47" s="98">
        <v>421.64100000000002</v>
      </c>
      <c r="I47" s="98">
        <v>471.488</v>
      </c>
      <c r="J47" s="98">
        <v>3796.4290000000001</v>
      </c>
      <c r="K47" s="98">
        <v>366.95400000000001</v>
      </c>
      <c r="L47" s="98">
        <v>315.46699999999998</v>
      </c>
      <c r="M47" s="98">
        <v>650.78</v>
      </c>
      <c r="N47" s="100">
        <v>6500</v>
      </c>
      <c r="O47" s="101">
        <f t="shared" si="61"/>
        <v>653.33999999999924</v>
      </c>
      <c r="P47" s="102">
        <f>F47/N47*100</f>
        <v>110.05138461538459</v>
      </c>
      <c r="Q47" s="101">
        <f t="shared" si="18"/>
        <v>3791.6666666666665</v>
      </c>
      <c r="R47" s="101">
        <f t="shared" si="62"/>
        <v>3361.6733333333327</v>
      </c>
      <c r="S47" s="102">
        <f t="shared" si="60"/>
        <v>188.65951648351646</v>
      </c>
      <c r="T47" s="102">
        <f t="shared" si="19"/>
        <v>110.05138461538459</v>
      </c>
      <c r="U47" s="98">
        <v>846.95699999999999</v>
      </c>
      <c r="V47" s="101">
        <f t="shared" si="63"/>
        <v>6306.3829999999989</v>
      </c>
      <c r="W47" s="102">
        <f>F47/U47*100</f>
        <v>844.59305490125234</v>
      </c>
    </row>
    <row r="48" spans="1:27" s="65" customFormat="1" ht="64.5" customHeight="1" x14ac:dyDescent="0.25">
      <c r="A48" s="61">
        <f t="shared" si="59"/>
        <v>22</v>
      </c>
      <c r="B48" s="70" t="s">
        <v>119</v>
      </c>
      <c r="C48" s="62" t="s">
        <v>118</v>
      </c>
      <c r="D48" s="98">
        <v>0.25</v>
      </c>
      <c r="E48" s="98">
        <v>0.25</v>
      </c>
      <c r="F48" s="98">
        <f t="shared" si="17"/>
        <v>0</v>
      </c>
      <c r="G48" s="98">
        <v>0</v>
      </c>
      <c r="H48" s="98">
        <v>0</v>
      </c>
      <c r="I48" s="98">
        <v>0</v>
      </c>
      <c r="J48" s="98">
        <v>0</v>
      </c>
      <c r="K48" s="98">
        <v>0</v>
      </c>
      <c r="L48" s="98">
        <v>0</v>
      </c>
      <c r="M48" s="98">
        <v>0</v>
      </c>
      <c r="N48" s="100">
        <v>0</v>
      </c>
      <c r="O48" s="101">
        <f t="shared" si="61"/>
        <v>0</v>
      </c>
      <c r="P48" s="102"/>
      <c r="Q48" s="101">
        <f t="shared" si="18"/>
        <v>0.14583333333333331</v>
      </c>
      <c r="R48" s="101">
        <f t="shared" si="62"/>
        <v>-0.14583333333333331</v>
      </c>
      <c r="S48" s="102">
        <f t="shared" si="60"/>
        <v>0</v>
      </c>
      <c r="T48" s="102">
        <f t="shared" si="19"/>
        <v>0</v>
      </c>
      <c r="U48" s="98">
        <v>0</v>
      </c>
      <c r="V48" s="101">
        <f t="shared" si="63"/>
        <v>0</v>
      </c>
      <c r="W48" s="102"/>
      <c r="Y48" s="63">
        <f>F50-F46</f>
        <v>3068432.9390000002</v>
      </c>
      <c r="Z48" s="63">
        <f>U50-U46</f>
        <v>2494343.2900000005</v>
      </c>
      <c r="AA48" s="64">
        <f>Y48/Z48</f>
        <v>1.2301566313271979</v>
      </c>
    </row>
    <row r="49" spans="1:30" s="65" customFormat="1" ht="39" x14ac:dyDescent="0.25">
      <c r="A49" s="61">
        <f t="shared" si="59"/>
        <v>23</v>
      </c>
      <c r="B49" s="70" t="s">
        <v>82</v>
      </c>
      <c r="C49" s="62" t="s">
        <v>81</v>
      </c>
      <c r="D49" s="98">
        <v>0.25</v>
      </c>
      <c r="E49" s="98">
        <v>0.25</v>
      </c>
      <c r="F49" s="98">
        <f t="shared" si="17"/>
        <v>0</v>
      </c>
      <c r="G49" s="98">
        <v>0</v>
      </c>
      <c r="H49" s="98">
        <v>0</v>
      </c>
      <c r="I49" s="98">
        <v>0</v>
      </c>
      <c r="J49" s="98">
        <v>0</v>
      </c>
      <c r="K49" s="98">
        <v>0</v>
      </c>
      <c r="L49" s="98">
        <v>0</v>
      </c>
      <c r="M49" s="98">
        <v>0</v>
      </c>
      <c r="N49" s="100">
        <v>0</v>
      </c>
      <c r="O49" s="101">
        <f t="shared" si="61"/>
        <v>0</v>
      </c>
      <c r="P49" s="102"/>
      <c r="Q49" s="101">
        <f t="shared" si="18"/>
        <v>0.14583333333333331</v>
      </c>
      <c r="R49" s="101">
        <f t="shared" si="62"/>
        <v>-0.14583333333333331</v>
      </c>
      <c r="S49" s="102">
        <f t="shared" si="60"/>
        <v>0</v>
      </c>
      <c r="T49" s="102">
        <f t="shared" si="19"/>
        <v>0</v>
      </c>
      <c r="U49" s="98">
        <v>0</v>
      </c>
      <c r="V49" s="101">
        <f t="shared" si="63"/>
        <v>0</v>
      </c>
      <c r="W49" s="102"/>
    </row>
    <row r="50" spans="1:30" s="71" customFormat="1" ht="32.25" customHeight="1" x14ac:dyDescent="0.3">
      <c r="A50" s="167"/>
      <c r="B50" s="168" t="s">
        <v>186</v>
      </c>
      <c r="C50" s="169"/>
      <c r="D50" s="169">
        <f>D7+D8+D9+D14+D22+D28+D29+D30+D31+D32+D33+D34+D37+D42+D43+D44+D45+D46+D47+D49+D48+D36</f>
        <v>4907395.4850000003</v>
      </c>
      <c r="E50" s="169">
        <f>E7+E8+E9+E14+E22+E28+E29+E30+E31+E32+E33+E34+E37+E42+E43+E44+E45+E46+E47+E49+E48+E36+E35</f>
        <v>5665331.5</v>
      </c>
      <c r="F50" s="169">
        <f t="shared" si="17"/>
        <v>3070825.6050000004</v>
      </c>
      <c r="G50" s="169">
        <f t="shared" ref="G50:I50" si="64">G7+G8+G9+G14+G22+G28+G29+G30+G31+G32+G33+G34+G37+G42+G43+G44+G45+G46+G47+G49+G48+G36+G35+G21</f>
        <v>409452.82699999999</v>
      </c>
      <c r="H50" s="169">
        <f t="shared" si="64"/>
        <v>431791.35999999999</v>
      </c>
      <c r="I50" s="169">
        <f t="shared" si="64"/>
        <v>401731.77299999987</v>
      </c>
      <c r="J50" s="169">
        <f>J7+J8+J9+J14+J22+J28+J29+J30+J31+J32+J33+J34+J37+J42+J43+J44+J45+J46+J47+J49+J48+J36+J35+J21</f>
        <v>453308.46799999994</v>
      </c>
      <c r="K50" s="169">
        <f>K7+K8+K9+K14+K22+K28+K29+K30+K31+K32+K33+K34+K37+K42+K43+K44+K45+K46+K47+K49+K48+K36+K35+K21</f>
        <v>447883.62200000015</v>
      </c>
      <c r="L50" s="169">
        <f>L7+L8+L9+L14+L22+L28+L29+L30+L31+L32+L33+L34+L37+L42+L43+L44+L45+L46+L47+L49+L48+L36+L35+L21</f>
        <v>448929.08400000015</v>
      </c>
      <c r="M50" s="169">
        <f>M7+M8+M9+M14+M22+M28+M29+M30+M31+M32+M33+M34+M37+M42+M43+M44+M45+M46+M47+M49+M48+M36+M35+M21</f>
        <v>477728.47100000014</v>
      </c>
      <c r="N50" s="169">
        <f>N7+N8+N9+N14+N22+N28+N29+N30+N31+N32+N33+N34+N37+N42+N43+N44+N45+N46+N47+N49+N48+N36+N35</f>
        <v>2192140.2749999994</v>
      </c>
      <c r="O50" s="73">
        <f t="shared" si="61"/>
        <v>878685.33000000101</v>
      </c>
      <c r="P50" s="74">
        <f>F50/N50*100</f>
        <v>140.08344447756662</v>
      </c>
      <c r="Q50" s="169">
        <f>Q7+Q8+Q9+Q14+Q22+Q28+Q29+Q30+Q31+Q32+Q33+Q34+Q37+Q42+Q43+Q44+Q45+Q46+Q47+Q49+Q48+Q36+Q35</f>
        <v>3304776.708333334</v>
      </c>
      <c r="R50" s="73">
        <f t="shared" si="62"/>
        <v>-233951.10333333351</v>
      </c>
      <c r="S50" s="74">
        <f t="shared" si="60"/>
        <v>92.920819650435021</v>
      </c>
      <c r="T50" s="74">
        <f t="shared" si="19"/>
        <v>54.203811462753784</v>
      </c>
      <c r="U50" s="169">
        <f>U7+U8+U9+U14+U22+U28+U29+U30+U31+U32+U33+U34+U37+U42+U43+U44+U45+U46+U47+U49+U48+U36+U21</f>
        <v>2494957.5980000007</v>
      </c>
      <c r="V50" s="73">
        <f t="shared" si="63"/>
        <v>575868.00699999975</v>
      </c>
      <c r="W50" s="74">
        <f>F50/U50*100</f>
        <v>123.08127430548821</v>
      </c>
      <c r="X50" s="72">
        <v>2494957.5980000002</v>
      </c>
      <c r="Y50" s="72">
        <f>X50-U50</f>
        <v>0</v>
      </c>
      <c r="AB50" s="72" t="e">
        <f>#REF!-#REF!-#REF!</f>
        <v>#REF!</v>
      </c>
      <c r="AD50" s="71">
        <v>294547.38299999997</v>
      </c>
    </row>
    <row r="51" spans="1:30" s="10" customFormat="1" ht="78" x14ac:dyDescent="0.25">
      <c r="A51" s="24">
        <v>1</v>
      </c>
      <c r="B51" s="141" t="s">
        <v>162</v>
      </c>
      <c r="C51" s="119" t="s">
        <v>159</v>
      </c>
      <c r="D51" s="107">
        <v>0</v>
      </c>
      <c r="E51" s="107">
        <v>10995.7</v>
      </c>
      <c r="F51" s="98">
        <f t="shared" si="17"/>
        <v>6414.1</v>
      </c>
      <c r="G51" s="98">
        <v>0</v>
      </c>
      <c r="H51" s="98">
        <v>0</v>
      </c>
      <c r="I51" s="98">
        <v>2748.9</v>
      </c>
      <c r="J51" s="98">
        <v>916.3</v>
      </c>
      <c r="K51" s="98">
        <v>916.3</v>
      </c>
      <c r="L51" s="98">
        <v>916.3</v>
      </c>
      <c r="M51" s="98">
        <v>916.3</v>
      </c>
      <c r="N51" s="98">
        <v>6414.1</v>
      </c>
      <c r="O51" s="101">
        <f t="shared" ref="O51" si="65">F51-N51</f>
        <v>0</v>
      </c>
      <c r="P51" s="102">
        <f>F51/N51*100</f>
        <v>100</v>
      </c>
      <c r="Q51" s="98">
        <f>N51</f>
        <v>6414.1</v>
      </c>
      <c r="R51" s="101">
        <f t="shared" ref="R51" si="66">F51-Q51</f>
        <v>0</v>
      </c>
      <c r="S51" s="102">
        <f>F51/Q51*100</f>
        <v>100</v>
      </c>
      <c r="T51" s="102">
        <f t="shared" ref="T51" si="67">F51/E51*100</f>
        <v>58.332802822921693</v>
      </c>
      <c r="U51" s="98">
        <v>0</v>
      </c>
      <c r="V51" s="101">
        <f t="shared" si="63"/>
        <v>6414.1</v>
      </c>
      <c r="W51" s="102"/>
      <c r="X51" s="40"/>
      <c r="Y51" s="40"/>
      <c r="Z51" s="40"/>
      <c r="AA51" s="42"/>
    </row>
    <row r="52" spans="1:30" s="10" customFormat="1" ht="23.25" x14ac:dyDescent="0.25">
      <c r="A52" s="24">
        <f>A51+1</f>
        <v>2</v>
      </c>
      <c r="B52" s="49" t="s">
        <v>164</v>
      </c>
      <c r="C52" s="25" t="s">
        <v>55</v>
      </c>
      <c r="D52" s="107">
        <v>0</v>
      </c>
      <c r="E52" s="107">
        <v>743512.7</v>
      </c>
      <c r="F52" s="98">
        <f t="shared" si="17"/>
        <v>484291.40000000008</v>
      </c>
      <c r="G52" s="98">
        <v>58102.400000000001</v>
      </c>
      <c r="H52" s="98">
        <v>58123.4</v>
      </c>
      <c r="I52" s="98">
        <v>58121.9</v>
      </c>
      <c r="J52" s="98">
        <v>58111.7</v>
      </c>
      <c r="K52" s="98">
        <v>74506.399999999994</v>
      </c>
      <c r="L52" s="98">
        <v>149014.70000000001</v>
      </c>
      <c r="M52" s="98">
        <v>28310.9</v>
      </c>
      <c r="N52" s="98">
        <v>484291.4</v>
      </c>
      <c r="O52" s="101">
        <f t="shared" si="61"/>
        <v>0</v>
      </c>
      <c r="P52" s="102">
        <f>F52/N52*100</f>
        <v>100.00000000000003</v>
      </c>
      <c r="Q52" s="98">
        <f t="shared" ref="Q52:Q66" si="68">N52</f>
        <v>484291.4</v>
      </c>
      <c r="R52" s="101">
        <f t="shared" si="62"/>
        <v>0</v>
      </c>
      <c r="S52" s="102">
        <f>F52/Q52*100</f>
        <v>100.00000000000003</v>
      </c>
      <c r="T52" s="102">
        <f t="shared" si="19"/>
        <v>65.135592169441097</v>
      </c>
      <c r="U52" s="98">
        <v>509644.5</v>
      </c>
      <c r="V52" s="101">
        <f t="shared" si="63"/>
        <v>-25353.099999999919</v>
      </c>
      <c r="W52" s="102">
        <f>F52/U52*100</f>
        <v>95.025336288334344</v>
      </c>
      <c r="X52" s="40"/>
      <c r="Y52" s="40"/>
      <c r="Z52" s="40"/>
      <c r="AA52" s="42"/>
    </row>
    <row r="53" spans="1:30" s="10" customFormat="1" ht="58.5" x14ac:dyDescent="0.25">
      <c r="A53" s="24">
        <f t="shared" ref="A53:A62" si="69">A52+1</f>
        <v>3</v>
      </c>
      <c r="B53" s="141" t="s">
        <v>165</v>
      </c>
      <c r="C53" s="119" t="s">
        <v>106</v>
      </c>
      <c r="D53" s="107">
        <v>0</v>
      </c>
      <c r="E53" s="107">
        <v>0</v>
      </c>
      <c r="F53" s="98">
        <f t="shared" si="17"/>
        <v>0</v>
      </c>
      <c r="G53" s="98">
        <v>0</v>
      </c>
      <c r="H53" s="98">
        <v>0</v>
      </c>
      <c r="I53" s="98">
        <v>0</v>
      </c>
      <c r="J53" s="98">
        <v>0</v>
      </c>
      <c r="K53" s="98">
        <v>0</v>
      </c>
      <c r="L53" s="98">
        <v>0</v>
      </c>
      <c r="M53" s="98">
        <v>0</v>
      </c>
      <c r="N53" s="98">
        <v>0</v>
      </c>
      <c r="O53" s="101">
        <f t="shared" si="61"/>
        <v>0</v>
      </c>
      <c r="P53" s="102"/>
      <c r="Q53" s="98">
        <f t="shared" ref="Q53:Q57" si="70">N53</f>
        <v>0</v>
      </c>
      <c r="R53" s="101">
        <f t="shared" ref="R53:R57" si="71">F53-Q53</f>
        <v>0</v>
      </c>
      <c r="S53" s="102"/>
      <c r="T53" s="102"/>
      <c r="U53" s="98">
        <v>16916.900000000001</v>
      </c>
      <c r="V53" s="101">
        <f t="shared" ref="V53:V57" si="72">F53-U53</f>
        <v>-16916.900000000001</v>
      </c>
      <c r="W53" s="102"/>
      <c r="X53" s="40"/>
      <c r="Y53" s="40"/>
      <c r="Z53" s="40"/>
      <c r="AA53" s="42"/>
    </row>
    <row r="54" spans="1:30" s="10" customFormat="1" ht="28.5" customHeight="1" x14ac:dyDescent="0.25">
      <c r="A54" s="24">
        <f t="shared" si="69"/>
        <v>4</v>
      </c>
      <c r="B54" s="141" t="s">
        <v>177</v>
      </c>
      <c r="C54" s="119" t="s">
        <v>176</v>
      </c>
      <c r="D54" s="107">
        <v>0</v>
      </c>
      <c r="E54" s="107">
        <v>3201.0839999999998</v>
      </c>
      <c r="F54" s="98">
        <f t="shared" si="17"/>
        <v>3201.0839999999998</v>
      </c>
      <c r="G54" s="98">
        <v>0</v>
      </c>
      <c r="H54" s="98">
        <v>0</v>
      </c>
      <c r="I54" s="98">
        <v>0</v>
      </c>
      <c r="J54" s="98">
        <v>0</v>
      </c>
      <c r="K54" s="98">
        <v>0</v>
      </c>
      <c r="L54" s="98">
        <v>3201.0839999999998</v>
      </c>
      <c r="M54" s="98">
        <v>0</v>
      </c>
      <c r="N54" s="98">
        <v>3201.0839999999998</v>
      </c>
      <c r="O54" s="101">
        <f t="shared" si="61"/>
        <v>0</v>
      </c>
      <c r="P54" s="102">
        <f t="shared" ref="P54:P61" si="73">F54/N54*100</f>
        <v>100</v>
      </c>
      <c r="Q54" s="98">
        <f t="shared" si="70"/>
        <v>3201.0839999999998</v>
      </c>
      <c r="R54" s="101">
        <f t="shared" si="71"/>
        <v>0</v>
      </c>
      <c r="S54" s="102">
        <f t="shared" ref="S54:S61" si="74">F54/Q54*100</f>
        <v>100</v>
      </c>
      <c r="T54" s="102">
        <f t="shared" ref="T54:T57" si="75">F54/E54*100</f>
        <v>100</v>
      </c>
      <c r="U54" s="98">
        <v>3036.24</v>
      </c>
      <c r="V54" s="101">
        <f t="shared" si="72"/>
        <v>164.84400000000005</v>
      </c>
      <c r="W54" s="102">
        <f>F54/U54*100</f>
        <v>105.42921508181171</v>
      </c>
      <c r="X54" s="40"/>
      <c r="Y54" s="40"/>
      <c r="Z54" s="40"/>
      <c r="AA54" s="42"/>
    </row>
    <row r="55" spans="1:30" s="10" customFormat="1" ht="285" customHeight="1" x14ac:dyDescent="0.25">
      <c r="A55" s="24">
        <f t="shared" si="69"/>
        <v>5</v>
      </c>
      <c r="B55" s="141" t="s">
        <v>208</v>
      </c>
      <c r="C55" s="119">
        <v>41050400</v>
      </c>
      <c r="D55" s="107">
        <v>0</v>
      </c>
      <c r="E55" s="107">
        <v>25812.348999999998</v>
      </c>
      <c r="F55" s="98">
        <f t="shared" si="17"/>
        <v>25812.348999999998</v>
      </c>
      <c r="G55" s="98">
        <v>0</v>
      </c>
      <c r="H55" s="98">
        <v>0</v>
      </c>
      <c r="I55" s="98">
        <v>0</v>
      </c>
      <c r="J55" s="98">
        <v>0</v>
      </c>
      <c r="K55" s="98">
        <v>0</v>
      </c>
      <c r="L55" s="98">
        <v>0</v>
      </c>
      <c r="M55" s="98">
        <v>25812.348999999998</v>
      </c>
      <c r="N55" s="98">
        <v>25812.348999999998</v>
      </c>
      <c r="O55" s="101">
        <f t="shared" si="61"/>
        <v>0</v>
      </c>
      <c r="P55" s="102">
        <f t="shared" si="73"/>
        <v>100</v>
      </c>
      <c r="Q55" s="98">
        <f t="shared" si="70"/>
        <v>25812.348999999998</v>
      </c>
      <c r="R55" s="101">
        <f t="shared" si="71"/>
        <v>0</v>
      </c>
      <c r="S55" s="102">
        <f t="shared" si="74"/>
        <v>100</v>
      </c>
      <c r="T55" s="102">
        <f t="shared" si="75"/>
        <v>100</v>
      </c>
      <c r="U55" s="98"/>
      <c r="V55" s="101">
        <f t="shared" si="72"/>
        <v>25812.348999999998</v>
      </c>
      <c r="W55" s="102"/>
      <c r="X55" s="40"/>
      <c r="Y55" s="40"/>
      <c r="Z55" s="40"/>
      <c r="AA55" s="42"/>
    </row>
    <row r="56" spans="1:30" s="10" customFormat="1" ht="205.5" customHeight="1" x14ac:dyDescent="0.25">
      <c r="A56" s="24">
        <f t="shared" si="69"/>
        <v>6</v>
      </c>
      <c r="B56" s="141" t="s">
        <v>198</v>
      </c>
      <c r="C56" s="119">
        <v>41050500</v>
      </c>
      <c r="D56" s="107">
        <v>0</v>
      </c>
      <c r="E56" s="107">
        <v>9265.4719999999998</v>
      </c>
      <c r="F56" s="98">
        <f t="shared" si="17"/>
        <v>9265.4719999999998</v>
      </c>
      <c r="G56" s="98">
        <v>0</v>
      </c>
      <c r="H56" s="98">
        <v>0</v>
      </c>
      <c r="I56" s="98">
        <v>0</v>
      </c>
      <c r="J56" s="98">
        <v>0</v>
      </c>
      <c r="K56" s="98">
        <v>0</v>
      </c>
      <c r="L56" s="98">
        <v>0</v>
      </c>
      <c r="M56" s="98">
        <v>9265.4719999999998</v>
      </c>
      <c r="N56" s="98">
        <v>9265.4719999999998</v>
      </c>
      <c r="O56" s="101">
        <f t="shared" si="61"/>
        <v>0</v>
      </c>
      <c r="P56" s="102">
        <f t="shared" si="73"/>
        <v>100</v>
      </c>
      <c r="Q56" s="98">
        <f t="shared" si="70"/>
        <v>9265.4719999999998</v>
      </c>
      <c r="R56" s="101">
        <f t="shared" si="71"/>
        <v>0</v>
      </c>
      <c r="S56" s="102">
        <f t="shared" si="74"/>
        <v>100</v>
      </c>
      <c r="T56" s="102">
        <f t="shared" si="75"/>
        <v>100</v>
      </c>
      <c r="U56" s="98"/>
      <c r="V56" s="101">
        <f t="shared" si="72"/>
        <v>9265.4719999999998</v>
      </c>
      <c r="W56" s="102"/>
      <c r="X56" s="40"/>
      <c r="Y56" s="40"/>
      <c r="Z56" s="40"/>
      <c r="AA56" s="42"/>
    </row>
    <row r="57" spans="1:30" s="10" customFormat="1" ht="283.5" customHeight="1" x14ac:dyDescent="0.25">
      <c r="A57" s="24">
        <f t="shared" si="69"/>
        <v>7</v>
      </c>
      <c r="B57" s="141" t="s">
        <v>199</v>
      </c>
      <c r="C57" s="119">
        <v>41050600</v>
      </c>
      <c r="D57" s="107">
        <v>0</v>
      </c>
      <c r="E57" s="107">
        <v>23144.884999999998</v>
      </c>
      <c r="F57" s="98">
        <f t="shared" si="17"/>
        <v>23144.884999999998</v>
      </c>
      <c r="G57" s="98">
        <v>0</v>
      </c>
      <c r="H57" s="98">
        <v>0</v>
      </c>
      <c r="I57" s="98">
        <v>0</v>
      </c>
      <c r="J57" s="98">
        <v>0</v>
      </c>
      <c r="K57" s="98">
        <v>0</v>
      </c>
      <c r="L57" s="98">
        <v>0</v>
      </c>
      <c r="M57" s="98">
        <v>23144.884999999998</v>
      </c>
      <c r="N57" s="98">
        <v>23144.884999999998</v>
      </c>
      <c r="O57" s="101">
        <f t="shared" si="61"/>
        <v>0</v>
      </c>
      <c r="P57" s="102">
        <f t="shared" si="73"/>
        <v>100</v>
      </c>
      <c r="Q57" s="98">
        <f t="shared" si="70"/>
        <v>23144.884999999998</v>
      </c>
      <c r="R57" s="101">
        <f t="shared" si="71"/>
        <v>0</v>
      </c>
      <c r="S57" s="102">
        <f t="shared" si="74"/>
        <v>100</v>
      </c>
      <c r="T57" s="102">
        <f t="shared" si="75"/>
        <v>100</v>
      </c>
      <c r="U57" s="98"/>
      <c r="V57" s="101">
        <f t="shared" si="72"/>
        <v>23144.884999999998</v>
      </c>
      <c r="W57" s="102"/>
      <c r="X57" s="40"/>
      <c r="Y57" s="40"/>
      <c r="Z57" s="40"/>
      <c r="AA57" s="42"/>
    </row>
    <row r="58" spans="1:30" s="10" customFormat="1" ht="39" x14ac:dyDescent="0.25">
      <c r="A58" s="24">
        <f t="shared" si="69"/>
        <v>8</v>
      </c>
      <c r="B58" s="141" t="s">
        <v>166</v>
      </c>
      <c r="C58" s="119" t="s">
        <v>115</v>
      </c>
      <c r="D58" s="107">
        <v>0</v>
      </c>
      <c r="E58" s="107">
        <v>17419.900000000001</v>
      </c>
      <c r="F58" s="98">
        <f t="shared" si="17"/>
        <v>11365.188</v>
      </c>
      <c r="G58" s="98">
        <v>1367.232</v>
      </c>
      <c r="H58" s="98">
        <v>1367.7239999999999</v>
      </c>
      <c r="I58" s="98">
        <v>1367.6890000000001</v>
      </c>
      <c r="J58" s="98">
        <v>1367.451</v>
      </c>
      <c r="K58" s="98">
        <v>1753.242</v>
      </c>
      <c r="L58" s="98">
        <v>3480.5839999999998</v>
      </c>
      <c r="M58" s="98">
        <v>661.26599999999996</v>
      </c>
      <c r="N58" s="100">
        <v>11365.188</v>
      </c>
      <c r="O58" s="101">
        <f t="shared" si="61"/>
        <v>0</v>
      </c>
      <c r="P58" s="102">
        <f t="shared" si="73"/>
        <v>100</v>
      </c>
      <c r="Q58" s="98">
        <f t="shared" si="68"/>
        <v>11365.188</v>
      </c>
      <c r="R58" s="101">
        <f t="shared" si="62"/>
        <v>0</v>
      </c>
      <c r="S58" s="102">
        <f t="shared" si="74"/>
        <v>100</v>
      </c>
      <c r="T58" s="102">
        <f t="shared" si="19"/>
        <v>65.242555927416348</v>
      </c>
      <c r="U58" s="98">
        <v>9494.4169999999995</v>
      </c>
      <c r="V58" s="101">
        <f t="shared" si="63"/>
        <v>1870.7710000000006</v>
      </c>
      <c r="W58" s="102">
        <f>F58/U58*100</f>
        <v>119.70390599022562</v>
      </c>
    </row>
    <row r="59" spans="1:30" s="10" customFormat="1" ht="58.5" x14ac:dyDescent="0.25">
      <c r="A59" s="24">
        <f t="shared" si="69"/>
        <v>9</v>
      </c>
      <c r="B59" s="141" t="s">
        <v>167</v>
      </c>
      <c r="C59" s="119">
        <v>41051200</v>
      </c>
      <c r="D59" s="107">
        <v>0</v>
      </c>
      <c r="E59" s="107">
        <v>2613.9</v>
      </c>
      <c r="F59" s="98">
        <f t="shared" si="17"/>
        <v>1524.7260000000001</v>
      </c>
      <c r="G59" s="98">
        <v>217.81800000000001</v>
      </c>
      <c r="H59" s="98">
        <v>217.81800000000001</v>
      </c>
      <c r="I59" s="98">
        <v>217.81800000000001</v>
      </c>
      <c r="J59" s="98">
        <v>217.81800000000001</v>
      </c>
      <c r="K59" s="98">
        <v>217.81800000000001</v>
      </c>
      <c r="L59" s="98">
        <v>217.81800000000001</v>
      </c>
      <c r="M59" s="98">
        <v>217.81800000000001</v>
      </c>
      <c r="N59" s="100">
        <v>1524.7260000000001</v>
      </c>
      <c r="O59" s="101">
        <f t="shared" si="61"/>
        <v>0</v>
      </c>
      <c r="P59" s="102">
        <f t="shared" si="73"/>
        <v>100</v>
      </c>
      <c r="Q59" s="98">
        <f t="shared" si="68"/>
        <v>1524.7260000000001</v>
      </c>
      <c r="R59" s="101">
        <f t="shared" si="62"/>
        <v>0</v>
      </c>
      <c r="S59" s="102">
        <f t="shared" si="74"/>
        <v>100</v>
      </c>
      <c r="T59" s="102">
        <f t="shared" si="19"/>
        <v>58.331458739814067</v>
      </c>
      <c r="U59" s="98">
        <v>1369.7260000000001</v>
      </c>
      <c r="V59" s="101">
        <f t="shared" si="63"/>
        <v>155</v>
      </c>
      <c r="W59" s="102">
        <f>F59/U59*100</f>
        <v>111.3161318395066</v>
      </c>
    </row>
    <row r="60" spans="1:30" s="10" customFormat="1" ht="58.5" x14ac:dyDescent="0.25">
      <c r="A60" s="24">
        <f t="shared" si="69"/>
        <v>10</v>
      </c>
      <c r="B60" s="141" t="s">
        <v>163</v>
      </c>
      <c r="C60" s="119" t="s">
        <v>160</v>
      </c>
      <c r="D60" s="107">
        <v>0</v>
      </c>
      <c r="E60" s="107">
        <v>2073.1129999999998</v>
      </c>
      <c r="F60" s="98">
        <f t="shared" si="17"/>
        <v>2073.1129999999998</v>
      </c>
      <c r="G60" s="98">
        <v>0</v>
      </c>
      <c r="H60" s="98">
        <v>0</v>
      </c>
      <c r="I60" s="98">
        <v>2073.1129999999998</v>
      </c>
      <c r="J60" s="98">
        <v>0</v>
      </c>
      <c r="K60" s="98">
        <v>0</v>
      </c>
      <c r="L60" s="98">
        <v>0</v>
      </c>
      <c r="M60" s="98">
        <v>0</v>
      </c>
      <c r="N60" s="100">
        <v>2073.1129999999998</v>
      </c>
      <c r="O60" s="101">
        <f t="shared" ref="O60:O61" si="76">F60-N60</f>
        <v>0</v>
      </c>
      <c r="P60" s="102">
        <f t="shared" si="73"/>
        <v>100</v>
      </c>
      <c r="Q60" s="98">
        <f t="shared" si="68"/>
        <v>2073.1129999999998</v>
      </c>
      <c r="R60" s="101">
        <f t="shared" ref="R60:R61" si="77">F60-Q60</f>
        <v>0</v>
      </c>
      <c r="S60" s="102">
        <f t="shared" si="74"/>
        <v>100</v>
      </c>
      <c r="T60" s="102">
        <f t="shared" ref="T60:T61" si="78">F60/E60*100</f>
        <v>100</v>
      </c>
      <c r="U60" s="98">
        <v>0</v>
      </c>
      <c r="V60" s="101">
        <f t="shared" si="63"/>
        <v>2073.1129999999998</v>
      </c>
      <c r="W60" s="102"/>
    </row>
    <row r="61" spans="1:30" s="10" customFormat="1" ht="58.5" x14ac:dyDescent="0.25">
      <c r="A61" s="24">
        <f t="shared" si="69"/>
        <v>11</v>
      </c>
      <c r="B61" s="141" t="s">
        <v>201</v>
      </c>
      <c r="C61" s="119" t="s">
        <v>200</v>
      </c>
      <c r="D61" s="107">
        <v>0</v>
      </c>
      <c r="E61" s="107">
        <v>3588.9</v>
      </c>
      <c r="F61" s="98">
        <f t="shared" si="17"/>
        <v>2871.12</v>
      </c>
      <c r="G61" s="98">
        <v>0</v>
      </c>
      <c r="H61" s="98">
        <v>0</v>
      </c>
      <c r="I61" s="98">
        <v>0</v>
      </c>
      <c r="J61" s="98">
        <v>0</v>
      </c>
      <c r="K61" s="98">
        <v>0</v>
      </c>
      <c r="L61" s="98">
        <v>0</v>
      </c>
      <c r="M61" s="98">
        <v>2871.12</v>
      </c>
      <c r="N61" s="100">
        <v>2871.12</v>
      </c>
      <c r="O61" s="101">
        <f t="shared" si="76"/>
        <v>0</v>
      </c>
      <c r="P61" s="102">
        <f t="shared" si="73"/>
        <v>100</v>
      </c>
      <c r="Q61" s="98">
        <f t="shared" si="68"/>
        <v>2871.12</v>
      </c>
      <c r="R61" s="101">
        <f t="shared" si="77"/>
        <v>0</v>
      </c>
      <c r="S61" s="102">
        <f t="shared" si="74"/>
        <v>100</v>
      </c>
      <c r="T61" s="102">
        <f t="shared" si="78"/>
        <v>80</v>
      </c>
      <c r="U61" s="98">
        <v>0</v>
      </c>
      <c r="V61" s="101">
        <f t="shared" si="63"/>
        <v>2871.12</v>
      </c>
      <c r="W61" s="102"/>
    </row>
    <row r="62" spans="1:30" s="10" customFormat="1" ht="23.25" x14ac:dyDescent="0.25">
      <c r="A62" s="24">
        <f t="shared" si="69"/>
        <v>12</v>
      </c>
      <c r="B62" s="142" t="s">
        <v>168</v>
      </c>
      <c r="C62" s="119" t="s">
        <v>107</v>
      </c>
      <c r="D62" s="107">
        <f>SUM(D63:D67)</f>
        <v>4144</v>
      </c>
      <c r="E62" s="107">
        <f>SUM(E63:E67)</f>
        <v>5010.6360000000004</v>
      </c>
      <c r="F62" s="98">
        <f t="shared" si="17"/>
        <v>4308.7170000000006</v>
      </c>
      <c r="G62" s="98">
        <f t="shared" ref="G62:K62" si="79">SUM(G63:G66)</f>
        <v>0</v>
      </c>
      <c r="H62" s="98">
        <f t="shared" si="79"/>
        <v>175.19500000000002</v>
      </c>
      <c r="I62" s="98">
        <f t="shared" si="79"/>
        <v>372.44399999999996</v>
      </c>
      <c r="J62" s="98">
        <f t="shared" si="79"/>
        <v>738.52100000000007</v>
      </c>
      <c r="K62" s="98">
        <f t="shared" si="79"/>
        <v>282.16399999999999</v>
      </c>
      <c r="L62" s="98">
        <f>SUM(L63:L67)</f>
        <v>1076.9830000000002</v>
      </c>
      <c r="M62" s="98">
        <f>SUM(M63:M67)</f>
        <v>1663.41</v>
      </c>
      <c r="N62" s="98">
        <f>SUM(N63:N67)</f>
        <v>4386.0259999999998</v>
      </c>
      <c r="O62" s="101">
        <f t="shared" si="61"/>
        <v>-77.308999999999287</v>
      </c>
      <c r="P62" s="102">
        <f t="shared" ref="P62:P66" si="80">F62/N62*100</f>
        <v>98.237379349780426</v>
      </c>
      <c r="Q62" s="98">
        <f t="shared" si="68"/>
        <v>4386.0259999999998</v>
      </c>
      <c r="R62" s="101">
        <f t="shared" si="62"/>
        <v>-77.308999999999287</v>
      </c>
      <c r="S62" s="102">
        <f t="shared" ref="S62:S66" si="81">F62/Q62*100</f>
        <v>98.237379349780426</v>
      </c>
      <c r="T62" s="102">
        <f t="shared" si="19"/>
        <v>85.991419053389635</v>
      </c>
      <c r="U62" s="98">
        <f>SUM(U63:U66)</f>
        <v>1671.3920000000001</v>
      </c>
      <c r="V62" s="101">
        <f t="shared" si="63"/>
        <v>2637.3250000000007</v>
      </c>
      <c r="W62" s="102">
        <f t="shared" ref="W62:W66" si="82">F62/U62*100</f>
        <v>257.79212775937663</v>
      </c>
      <c r="X62" s="99">
        <v>5098.8379999999997</v>
      </c>
      <c r="Y62" s="99">
        <f>X62-U62</f>
        <v>3427.4459999999999</v>
      </c>
    </row>
    <row r="63" spans="1:30" s="39" customFormat="1" ht="39" x14ac:dyDescent="0.25">
      <c r="A63" s="38" t="s">
        <v>202</v>
      </c>
      <c r="B63" s="143" t="s">
        <v>169</v>
      </c>
      <c r="C63" s="85"/>
      <c r="D63" s="108">
        <v>105</v>
      </c>
      <c r="E63" s="108">
        <v>105</v>
      </c>
      <c r="F63" s="103">
        <f t="shared" si="17"/>
        <v>19.766999999999999</v>
      </c>
      <c r="G63" s="103">
        <v>0</v>
      </c>
      <c r="H63" s="103">
        <v>6.05</v>
      </c>
      <c r="I63" s="103">
        <v>0</v>
      </c>
      <c r="J63" s="103">
        <v>6.9720000000000004</v>
      </c>
      <c r="K63" s="103">
        <v>3.4540000000000002</v>
      </c>
      <c r="L63" s="103">
        <v>3.2909999999999999</v>
      </c>
      <c r="M63" s="103">
        <v>0</v>
      </c>
      <c r="N63" s="104">
        <v>48.363999999999997</v>
      </c>
      <c r="O63" s="105">
        <f t="shared" si="61"/>
        <v>-28.596999999999998</v>
      </c>
      <c r="P63" s="106">
        <f t="shared" si="80"/>
        <v>40.871309238276403</v>
      </c>
      <c r="Q63" s="103">
        <f t="shared" si="68"/>
        <v>48.363999999999997</v>
      </c>
      <c r="R63" s="105">
        <f t="shared" si="62"/>
        <v>-28.596999999999998</v>
      </c>
      <c r="S63" s="106">
        <f t="shared" si="81"/>
        <v>40.871309238276403</v>
      </c>
      <c r="T63" s="106">
        <f t="shared" si="19"/>
        <v>18.825714285714284</v>
      </c>
      <c r="U63" s="103">
        <v>34.551000000000002</v>
      </c>
      <c r="V63" s="105">
        <f t="shared" si="63"/>
        <v>-14.784000000000002</v>
      </c>
      <c r="W63" s="106">
        <f t="shared" si="82"/>
        <v>57.211079274116514</v>
      </c>
    </row>
    <row r="64" spans="1:30" s="39" customFormat="1" ht="39" x14ac:dyDescent="0.25">
      <c r="A64" s="38" t="s">
        <v>203</v>
      </c>
      <c r="B64" s="143" t="s">
        <v>170</v>
      </c>
      <c r="C64" s="85"/>
      <c r="D64" s="108">
        <v>1246.7</v>
      </c>
      <c r="E64" s="108">
        <v>1246.7</v>
      </c>
      <c r="F64" s="103">
        <f t="shared" si="17"/>
        <v>808.27899999999988</v>
      </c>
      <c r="G64" s="103">
        <v>0</v>
      </c>
      <c r="H64" s="103">
        <v>169.14500000000001</v>
      </c>
      <c r="I64" s="103">
        <v>226.30799999999999</v>
      </c>
      <c r="J64" s="103">
        <v>79.358000000000004</v>
      </c>
      <c r="K64" s="103">
        <v>92.965000000000003</v>
      </c>
      <c r="L64" s="103">
        <v>81.823999999999998</v>
      </c>
      <c r="M64" s="103">
        <v>158.679</v>
      </c>
      <c r="N64" s="104">
        <v>808.279</v>
      </c>
      <c r="O64" s="105">
        <f t="shared" si="61"/>
        <v>0</v>
      </c>
      <c r="P64" s="106">
        <f t="shared" si="80"/>
        <v>99.999999999999986</v>
      </c>
      <c r="Q64" s="103">
        <f t="shared" si="68"/>
        <v>808.279</v>
      </c>
      <c r="R64" s="105">
        <f t="shared" si="62"/>
        <v>0</v>
      </c>
      <c r="S64" s="106">
        <f t="shared" si="81"/>
        <v>99.999999999999986</v>
      </c>
      <c r="T64" s="106">
        <f t="shared" si="19"/>
        <v>64.833480388224913</v>
      </c>
      <c r="U64" s="103">
        <v>567.74400000000003</v>
      </c>
      <c r="V64" s="105">
        <f t="shared" si="63"/>
        <v>240.53499999999985</v>
      </c>
      <c r="W64" s="106">
        <f t="shared" si="82"/>
        <v>142.36680616615936</v>
      </c>
    </row>
    <row r="65" spans="1:28" s="39" customFormat="1" ht="58.5" x14ac:dyDescent="0.25">
      <c r="A65" s="38" t="s">
        <v>204</v>
      </c>
      <c r="B65" s="143" t="s">
        <v>171</v>
      </c>
      <c r="C65" s="85"/>
      <c r="D65" s="108">
        <v>292.3</v>
      </c>
      <c r="E65" s="108">
        <v>292.3</v>
      </c>
      <c r="F65" s="103">
        <f t="shared" si="17"/>
        <v>146.136</v>
      </c>
      <c r="G65" s="103">
        <v>0</v>
      </c>
      <c r="H65" s="103">
        <v>0</v>
      </c>
      <c r="I65" s="103">
        <v>146.136</v>
      </c>
      <c r="J65" s="103">
        <v>0</v>
      </c>
      <c r="K65" s="103">
        <v>0</v>
      </c>
      <c r="L65" s="103"/>
      <c r="M65" s="103">
        <v>0</v>
      </c>
      <c r="N65" s="104">
        <v>194.84800000000001</v>
      </c>
      <c r="O65" s="105">
        <f t="shared" si="61"/>
        <v>-48.712000000000018</v>
      </c>
      <c r="P65" s="106">
        <f t="shared" si="80"/>
        <v>74.999999999999986</v>
      </c>
      <c r="Q65" s="103">
        <f t="shared" si="68"/>
        <v>194.84800000000001</v>
      </c>
      <c r="R65" s="105">
        <f t="shared" si="62"/>
        <v>-48.712000000000018</v>
      </c>
      <c r="S65" s="106">
        <f t="shared" si="81"/>
        <v>74.999999999999986</v>
      </c>
      <c r="T65" s="106">
        <f t="shared" si="19"/>
        <v>49.995210400273685</v>
      </c>
      <c r="U65" s="103">
        <v>146.136</v>
      </c>
      <c r="V65" s="105">
        <f t="shared" si="63"/>
        <v>0</v>
      </c>
      <c r="W65" s="106">
        <f t="shared" si="82"/>
        <v>100</v>
      </c>
    </row>
    <row r="66" spans="1:28" s="39" customFormat="1" ht="58.5" x14ac:dyDescent="0.25">
      <c r="A66" s="38" t="s">
        <v>205</v>
      </c>
      <c r="B66" s="143" t="s">
        <v>172</v>
      </c>
      <c r="C66" s="85"/>
      <c r="D66" s="108">
        <v>2500</v>
      </c>
      <c r="E66" s="108">
        <v>2500</v>
      </c>
      <c r="F66" s="103">
        <f t="shared" si="17"/>
        <v>2467.8990000000003</v>
      </c>
      <c r="G66" s="103">
        <v>0</v>
      </c>
      <c r="H66" s="103">
        <v>0</v>
      </c>
      <c r="I66" s="103">
        <v>0</v>
      </c>
      <c r="J66" s="103">
        <v>652.19100000000003</v>
      </c>
      <c r="K66" s="103">
        <v>185.745</v>
      </c>
      <c r="L66" s="103">
        <v>303.77300000000002</v>
      </c>
      <c r="M66" s="103">
        <v>1326.19</v>
      </c>
      <c r="N66" s="104">
        <v>2467.8989999999999</v>
      </c>
      <c r="O66" s="105">
        <f t="shared" si="61"/>
        <v>0</v>
      </c>
      <c r="P66" s="106">
        <f t="shared" si="80"/>
        <v>100.00000000000003</v>
      </c>
      <c r="Q66" s="103">
        <f t="shared" si="68"/>
        <v>2467.8989999999999</v>
      </c>
      <c r="R66" s="105">
        <f t="shared" si="62"/>
        <v>0</v>
      </c>
      <c r="S66" s="106">
        <f t="shared" si="81"/>
        <v>100.00000000000003</v>
      </c>
      <c r="T66" s="106">
        <f t="shared" si="19"/>
        <v>98.71596000000001</v>
      </c>
      <c r="U66" s="103">
        <v>922.96100000000001</v>
      </c>
      <c r="V66" s="105">
        <f t="shared" si="63"/>
        <v>1544.9380000000003</v>
      </c>
      <c r="W66" s="106">
        <f t="shared" si="82"/>
        <v>267.38930464017443</v>
      </c>
    </row>
    <row r="67" spans="1:28" s="39" customFormat="1" ht="58.5" x14ac:dyDescent="0.25">
      <c r="A67" s="38" t="s">
        <v>206</v>
      </c>
      <c r="B67" s="143" t="s">
        <v>184</v>
      </c>
      <c r="C67" s="85"/>
      <c r="D67" s="108">
        <v>0</v>
      </c>
      <c r="E67" s="108">
        <f>688.095+178.541</f>
        <v>866.63599999999997</v>
      </c>
      <c r="F67" s="103">
        <f>SUM(G67:M67)</f>
        <v>866.63599999999997</v>
      </c>
      <c r="G67" s="103">
        <v>0</v>
      </c>
      <c r="H67" s="103">
        <v>0</v>
      </c>
      <c r="I67" s="103">
        <v>0</v>
      </c>
      <c r="J67" s="103">
        <v>0</v>
      </c>
      <c r="K67" s="103">
        <v>0</v>
      </c>
      <c r="L67" s="103">
        <v>688.09500000000003</v>
      </c>
      <c r="M67" s="103">
        <v>178.541</v>
      </c>
      <c r="N67" s="104">
        <v>866.63599999999997</v>
      </c>
      <c r="O67" s="105">
        <f t="shared" ref="O67" si="83">F67-N67</f>
        <v>0</v>
      </c>
      <c r="P67" s="106">
        <f t="shared" ref="P67" si="84">F67/N67*100</f>
        <v>100</v>
      </c>
      <c r="Q67" s="103">
        <f t="shared" ref="Q67" si="85">N67</f>
        <v>866.63599999999997</v>
      </c>
      <c r="R67" s="105">
        <f t="shared" ref="R67" si="86">F67-Q67</f>
        <v>0</v>
      </c>
      <c r="S67" s="106">
        <f t="shared" ref="S67" si="87">F67/Q67*100</f>
        <v>100</v>
      </c>
      <c r="T67" s="106">
        <f t="shared" ref="T67" si="88">F67/E67*100</f>
        <v>100</v>
      </c>
      <c r="U67" s="103">
        <v>0</v>
      </c>
      <c r="V67" s="105">
        <f t="shared" ref="V67" si="89">F67-U67</f>
        <v>866.63599999999997</v>
      </c>
      <c r="W67" s="106"/>
    </row>
    <row r="68" spans="1:28" s="43" customFormat="1" ht="22.5" x14ac:dyDescent="0.3">
      <c r="A68" s="170"/>
      <c r="B68" s="48" t="s">
        <v>29</v>
      </c>
      <c r="C68" s="171"/>
      <c r="D68" s="46">
        <f>D72+D71+D70</f>
        <v>4144</v>
      </c>
      <c r="E68" s="46">
        <f>E72+E71+E70</f>
        <v>846638.63899999997</v>
      </c>
      <c r="F68" s="46">
        <f t="shared" si="17"/>
        <v>574272.1540000001</v>
      </c>
      <c r="G68" s="46">
        <f t="shared" ref="G68:M68" si="90">G72+G71+G70</f>
        <v>59687.450000000004</v>
      </c>
      <c r="H68" s="46">
        <f t="shared" si="90"/>
        <v>59884.137000000002</v>
      </c>
      <c r="I68" s="46">
        <f t="shared" ref="I68:L68" si="91">I72+I71+I70</f>
        <v>64901.864000000001</v>
      </c>
      <c r="J68" s="46">
        <f t="shared" si="91"/>
        <v>61351.79</v>
      </c>
      <c r="K68" s="46">
        <f t="shared" si="91"/>
        <v>77675.923999999999</v>
      </c>
      <c r="L68" s="46">
        <f t="shared" si="91"/>
        <v>157907.46900000001</v>
      </c>
      <c r="M68" s="46">
        <f t="shared" si="90"/>
        <v>92863.52</v>
      </c>
      <c r="N68" s="46">
        <f>N72+N71+N70</f>
        <v>574349.46299999999</v>
      </c>
      <c r="O68" s="73">
        <f>F68-N68</f>
        <v>-77.308999999891967</v>
      </c>
      <c r="P68" s="74">
        <f>F68/N68*100</f>
        <v>99.986539727991371</v>
      </c>
      <c r="Q68" s="46">
        <f>Q72+Q71+Q70</f>
        <v>574349.46299999999</v>
      </c>
      <c r="R68" s="73">
        <f>F68-Q68</f>
        <v>-77.308999999891967</v>
      </c>
      <c r="S68" s="74">
        <f>F68/Q68*100</f>
        <v>99.986539727991371</v>
      </c>
      <c r="T68" s="74">
        <f t="shared" si="19"/>
        <v>67.82966516603787</v>
      </c>
      <c r="U68" s="46">
        <f>U72+U71</f>
        <v>542133.17499999993</v>
      </c>
      <c r="V68" s="73">
        <f>F68-U68</f>
        <v>32138.979000000167</v>
      </c>
      <c r="W68" s="74">
        <f>F68/U68*100</f>
        <v>105.92824429163556</v>
      </c>
    </row>
    <row r="69" spans="1:28" s="13" customFormat="1" ht="23.25" x14ac:dyDescent="0.25">
      <c r="A69" s="12"/>
      <c r="B69" s="139" t="s">
        <v>93</v>
      </c>
      <c r="C69" s="11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1"/>
      <c r="P69" s="102"/>
      <c r="Q69" s="109"/>
      <c r="R69" s="73"/>
      <c r="S69" s="74"/>
      <c r="T69" s="74"/>
      <c r="U69" s="109"/>
      <c r="V69" s="73"/>
      <c r="W69" s="74"/>
    </row>
    <row r="70" spans="1:28" s="13" customFormat="1" ht="33.75" customHeight="1" x14ac:dyDescent="0.25">
      <c r="A70" s="12"/>
      <c r="B70" s="132" t="s">
        <v>161</v>
      </c>
      <c r="C70" s="26"/>
      <c r="D70" s="46">
        <f>D51</f>
        <v>0</v>
      </c>
      <c r="E70" s="46">
        <f>E51</f>
        <v>10995.7</v>
      </c>
      <c r="F70" s="46">
        <f>SUM(G70:M70)</f>
        <v>6414.1</v>
      </c>
      <c r="G70" s="46">
        <f t="shared" ref="G70:N70" si="92">G51</f>
        <v>0</v>
      </c>
      <c r="H70" s="46">
        <f t="shared" si="92"/>
        <v>0</v>
      </c>
      <c r="I70" s="46">
        <f t="shared" si="92"/>
        <v>2748.9</v>
      </c>
      <c r="J70" s="46">
        <f t="shared" si="92"/>
        <v>916.3</v>
      </c>
      <c r="K70" s="46">
        <f t="shared" si="92"/>
        <v>916.3</v>
      </c>
      <c r="L70" s="46">
        <f t="shared" si="92"/>
        <v>916.3</v>
      </c>
      <c r="M70" s="46">
        <f t="shared" si="92"/>
        <v>916.3</v>
      </c>
      <c r="N70" s="46">
        <f t="shared" si="92"/>
        <v>6414.1</v>
      </c>
      <c r="O70" s="73">
        <f t="shared" ref="O70:O71" si="93">F70-N70</f>
        <v>0</v>
      </c>
      <c r="P70" s="74">
        <f t="shared" ref="P70" si="94">F70/N70*100</f>
        <v>100</v>
      </c>
      <c r="Q70" s="46">
        <f t="shared" ref="Q70" si="95">Q51</f>
        <v>6414.1</v>
      </c>
      <c r="R70" s="73">
        <f t="shared" ref="R70:R71" si="96">F70-Q70</f>
        <v>0</v>
      </c>
      <c r="S70" s="74">
        <f t="shared" ref="S70" si="97">F70/Q70*100</f>
        <v>100</v>
      </c>
      <c r="T70" s="74">
        <f t="shared" ref="T70:T71" si="98">F70/E70*100</f>
        <v>58.332802822921693</v>
      </c>
      <c r="U70" s="46">
        <v>0</v>
      </c>
      <c r="V70" s="73">
        <f>F70-U70</f>
        <v>6414.1</v>
      </c>
      <c r="W70" s="74"/>
    </row>
    <row r="71" spans="1:28" s="13" customFormat="1" ht="33.75" customHeight="1" x14ac:dyDescent="0.25">
      <c r="A71" s="12"/>
      <c r="B71" s="132" t="s">
        <v>108</v>
      </c>
      <c r="C71" s="26"/>
      <c r="D71" s="46">
        <f>D53</f>
        <v>0</v>
      </c>
      <c r="E71" s="46">
        <f>E53+E54</f>
        <v>3201.0839999999998</v>
      </c>
      <c r="F71" s="46">
        <f>SUM(G71:M71)</f>
        <v>3201.0839999999998</v>
      </c>
      <c r="G71" s="46">
        <f t="shared" ref="G71:N71" si="99">G53+G54</f>
        <v>0</v>
      </c>
      <c r="H71" s="46">
        <f t="shared" si="99"/>
        <v>0</v>
      </c>
      <c r="I71" s="46">
        <f t="shared" si="99"/>
        <v>0</v>
      </c>
      <c r="J71" s="46">
        <f t="shared" si="99"/>
        <v>0</v>
      </c>
      <c r="K71" s="46">
        <f t="shared" si="99"/>
        <v>0</v>
      </c>
      <c r="L71" s="46">
        <f t="shared" si="99"/>
        <v>3201.0839999999998</v>
      </c>
      <c r="M71" s="46">
        <f t="shared" si="99"/>
        <v>0</v>
      </c>
      <c r="N71" s="46">
        <f t="shared" si="99"/>
        <v>3201.0839999999998</v>
      </c>
      <c r="O71" s="73">
        <f t="shared" si="93"/>
        <v>0</v>
      </c>
      <c r="P71" s="74">
        <f>F71/N71*100</f>
        <v>100</v>
      </c>
      <c r="Q71" s="46">
        <f t="shared" ref="Q71" si="100">Q53+Q54</f>
        <v>3201.0839999999998</v>
      </c>
      <c r="R71" s="73">
        <f t="shared" si="96"/>
        <v>0</v>
      </c>
      <c r="S71" s="74">
        <f>F71/Q71*100</f>
        <v>100</v>
      </c>
      <c r="T71" s="74">
        <f t="shared" si="98"/>
        <v>100</v>
      </c>
      <c r="U71" s="46">
        <f>U53+U54</f>
        <v>19953.14</v>
      </c>
      <c r="V71" s="73">
        <f>F71-U71</f>
        <v>-16752.056</v>
      </c>
      <c r="W71" s="74">
        <f>F71/U71*100</f>
        <v>16.043008769547047</v>
      </c>
    </row>
    <row r="72" spans="1:28" s="13" customFormat="1" ht="33.75" customHeight="1" x14ac:dyDescent="0.25">
      <c r="A72" s="12"/>
      <c r="B72" s="132" t="s">
        <v>70</v>
      </c>
      <c r="C72" s="26"/>
      <c r="D72" s="46">
        <f>D73+D74</f>
        <v>4144</v>
      </c>
      <c r="E72" s="46">
        <f>E73+E74</f>
        <v>832441.85499999998</v>
      </c>
      <c r="F72" s="46">
        <f t="shared" si="17"/>
        <v>564656.97</v>
      </c>
      <c r="G72" s="46">
        <f t="shared" ref="G72:N72" si="101">G73+G74</f>
        <v>59687.450000000004</v>
      </c>
      <c r="H72" s="46">
        <f t="shared" si="101"/>
        <v>59884.137000000002</v>
      </c>
      <c r="I72" s="46">
        <f t="shared" si="101"/>
        <v>62152.964</v>
      </c>
      <c r="J72" s="46">
        <f t="shared" si="101"/>
        <v>60435.49</v>
      </c>
      <c r="K72" s="46">
        <f t="shared" si="101"/>
        <v>76759.623999999996</v>
      </c>
      <c r="L72" s="46">
        <f t="shared" si="101"/>
        <v>153790.08500000002</v>
      </c>
      <c r="M72" s="46">
        <f t="shared" si="101"/>
        <v>91947.22</v>
      </c>
      <c r="N72" s="46">
        <f t="shared" si="101"/>
        <v>564734.27899999998</v>
      </c>
      <c r="O72" s="73">
        <f>F72-N72</f>
        <v>-77.309000000008382</v>
      </c>
      <c r="P72" s="74">
        <f>F72/N72*100</f>
        <v>99.986310552967154</v>
      </c>
      <c r="Q72" s="46">
        <f t="shared" ref="Q72" si="102">Q73+Q74</f>
        <v>564734.27899999998</v>
      </c>
      <c r="R72" s="73">
        <f>F72-Q72</f>
        <v>-77.309000000008382</v>
      </c>
      <c r="S72" s="74">
        <f>F72/Q72*100</f>
        <v>99.986310552967154</v>
      </c>
      <c r="T72" s="74">
        <f t="shared" si="19"/>
        <v>67.831400668819086</v>
      </c>
      <c r="U72" s="46">
        <f>U73+U74</f>
        <v>522180.03499999997</v>
      </c>
      <c r="V72" s="73">
        <f>F72-U72</f>
        <v>42476.934999999998</v>
      </c>
      <c r="W72" s="74">
        <f>F72/U72*100</f>
        <v>108.13453831110185</v>
      </c>
    </row>
    <row r="73" spans="1:28" s="8" customFormat="1" ht="33.75" customHeight="1" x14ac:dyDescent="0.25">
      <c r="A73" s="14"/>
      <c r="B73" s="17" t="s">
        <v>97</v>
      </c>
      <c r="C73" s="17"/>
      <c r="D73" s="108">
        <f>D52</f>
        <v>0</v>
      </c>
      <c r="E73" s="108">
        <f>E52</f>
        <v>743512.7</v>
      </c>
      <c r="F73" s="108">
        <f t="shared" si="17"/>
        <v>484291.40000000008</v>
      </c>
      <c r="G73" s="108">
        <f t="shared" ref="G73:N73" si="103">G52</f>
        <v>58102.400000000001</v>
      </c>
      <c r="H73" s="108">
        <f t="shared" si="103"/>
        <v>58123.4</v>
      </c>
      <c r="I73" s="108">
        <f t="shared" si="103"/>
        <v>58121.9</v>
      </c>
      <c r="J73" s="108">
        <f t="shared" si="103"/>
        <v>58111.7</v>
      </c>
      <c r="K73" s="108">
        <f t="shared" si="103"/>
        <v>74506.399999999994</v>
      </c>
      <c r="L73" s="108">
        <f t="shared" si="103"/>
        <v>149014.70000000001</v>
      </c>
      <c r="M73" s="108">
        <f t="shared" si="103"/>
        <v>28310.9</v>
      </c>
      <c r="N73" s="108">
        <f t="shared" si="103"/>
        <v>484291.4</v>
      </c>
      <c r="O73" s="105">
        <f>F73-N73</f>
        <v>0</v>
      </c>
      <c r="P73" s="106">
        <f>F73/N73*100</f>
        <v>100.00000000000003</v>
      </c>
      <c r="Q73" s="108">
        <f t="shared" ref="Q73" si="104">Q52</f>
        <v>484291.4</v>
      </c>
      <c r="R73" s="105">
        <f>F73-Q73</f>
        <v>0</v>
      </c>
      <c r="S73" s="106">
        <f>F73/Q73*100</f>
        <v>100.00000000000003</v>
      </c>
      <c r="T73" s="106">
        <f t="shared" si="19"/>
        <v>65.135592169441097</v>
      </c>
      <c r="U73" s="108">
        <f>U52</f>
        <v>509644.5</v>
      </c>
      <c r="V73" s="105">
        <f>F73-U73</f>
        <v>-25353.099999999919</v>
      </c>
      <c r="W73" s="106">
        <f>F73/U73*100</f>
        <v>95.025336288334344</v>
      </c>
    </row>
    <row r="74" spans="1:28" s="8" customFormat="1" ht="33.75" customHeight="1" x14ac:dyDescent="0.25">
      <c r="A74" s="14"/>
      <c r="B74" s="140" t="s">
        <v>96</v>
      </c>
      <c r="C74" s="17"/>
      <c r="D74" s="108">
        <f>D58+D62+D59</f>
        <v>4144</v>
      </c>
      <c r="E74" s="108">
        <f>E58+E62+E59+E60+E55+E56+E57+E61</f>
        <v>88929.154999999999</v>
      </c>
      <c r="F74" s="108">
        <f t="shared" si="17"/>
        <v>80365.570000000007</v>
      </c>
      <c r="G74" s="108">
        <f t="shared" ref="G74:L74" si="105">G58+G62+G59+G60+G55+G56+G57+G61</f>
        <v>1585.05</v>
      </c>
      <c r="H74" s="108">
        <f t="shared" si="105"/>
        <v>1760.7369999999999</v>
      </c>
      <c r="I74" s="108">
        <f t="shared" si="105"/>
        <v>4031.0639999999999</v>
      </c>
      <c r="J74" s="108">
        <f t="shared" si="105"/>
        <v>2323.7900000000004</v>
      </c>
      <c r="K74" s="108">
        <f t="shared" si="105"/>
        <v>2253.2240000000002</v>
      </c>
      <c r="L74" s="108">
        <f t="shared" si="105"/>
        <v>4775.3850000000002</v>
      </c>
      <c r="M74" s="108">
        <f>M58+M62+M59+M60+M55+M56+M57+M61</f>
        <v>63636.32</v>
      </c>
      <c r="N74" s="108">
        <f>N58+N62+N59+N60+N55+N56+N57+N61</f>
        <v>80442.879000000001</v>
      </c>
      <c r="O74" s="105">
        <f>F74-N74</f>
        <v>-77.30899999999383</v>
      </c>
      <c r="P74" s="106">
        <f>F74/N74*100</f>
        <v>99.903895781750933</v>
      </c>
      <c r="Q74" s="108">
        <f t="shared" ref="Q74" si="106">Q58+Q62+Q59+Q60+Q55+Q56+Q57+Q61</f>
        <v>80442.879000000001</v>
      </c>
      <c r="R74" s="105">
        <f>F74-Q74</f>
        <v>-77.30899999999383</v>
      </c>
      <c r="S74" s="106">
        <f>F74/Q74*100</f>
        <v>99.903895781750933</v>
      </c>
      <c r="T74" s="106">
        <f t="shared" si="19"/>
        <v>90.370329055752308</v>
      </c>
      <c r="U74" s="108">
        <f>U58+U62+U59</f>
        <v>12535.535</v>
      </c>
      <c r="V74" s="105">
        <f>F74-U74</f>
        <v>67830.035000000003</v>
      </c>
      <c r="W74" s="106">
        <f>F74/U74*100</f>
        <v>641.10203513451961</v>
      </c>
    </row>
    <row r="75" spans="1:28" s="8" customFormat="1" ht="23.25" x14ac:dyDescent="0.25">
      <c r="A75" s="14"/>
      <c r="B75" s="41"/>
      <c r="C75" s="17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5"/>
      <c r="P75" s="106"/>
      <c r="Q75" s="108"/>
      <c r="R75" s="105"/>
      <c r="S75" s="106"/>
      <c r="T75" s="106"/>
      <c r="U75" s="108"/>
      <c r="V75" s="105"/>
      <c r="W75" s="106"/>
    </row>
    <row r="76" spans="1:28" s="124" customFormat="1" ht="23.25" x14ac:dyDescent="0.3">
      <c r="A76" s="172"/>
      <c r="B76" s="173" t="s">
        <v>28</v>
      </c>
      <c r="C76" s="174"/>
      <c r="D76" s="126">
        <f>D68+D50</f>
        <v>4911539.4850000003</v>
      </c>
      <c r="E76" s="126">
        <f>E68+E50</f>
        <v>6511970.1390000004</v>
      </c>
      <c r="F76" s="126">
        <f t="shared" si="17"/>
        <v>3645097.7590000005</v>
      </c>
      <c r="G76" s="126">
        <f t="shared" ref="G76:N76" si="107">G68+G50</f>
        <v>469140.277</v>
      </c>
      <c r="H76" s="126">
        <f t="shared" si="107"/>
        <v>491675.49699999997</v>
      </c>
      <c r="I76" s="126">
        <f t="shared" si="107"/>
        <v>466633.63699999987</v>
      </c>
      <c r="J76" s="126">
        <f t="shared" si="107"/>
        <v>514660.25799999991</v>
      </c>
      <c r="K76" s="126">
        <f t="shared" si="107"/>
        <v>525559.54600000009</v>
      </c>
      <c r="L76" s="126">
        <f t="shared" si="107"/>
        <v>606836.55300000019</v>
      </c>
      <c r="M76" s="126">
        <f>M68+M50</f>
        <v>570591.99100000015</v>
      </c>
      <c r="N76" s="126">
        <f t="shared" si="107"/>
        <v>2766489.7379999994</v>
      </c>
      <c r="O76" s="127">
        <f>F76-N76</f>
        <v>878608.02100000111</v>
      </c>
      <c r="P76" s="128">
        <f>F76/N76*100</f>
        <v>131.75894741020005</v>
      </c>
      <c r="Q76" s="126">
        <f>Q68+Q50</f>
        <v>3879126.1713333339</v>
      </c>
      <c r="R76" s="127">
        <f>F76-Q76</f>
        <v>-234028.4123333334</v>
      </c>
      <c r="S76" s="128">
        <f>F76/Q76*100</f>
        <v>93.966981170584276</v>
      </c>
      <c r="T76" s="128">
        <f t="shared" si="19"/>
        <v>55.97534511360265</v>
      </c>
      <c r="U76" s="126">
        <f>U68+U50</f>
        <v>3037090.7730000005</v>
      </c>
      <c r="V76" s="127">
        <f>F76-U76</f>
        <v>608006.98600000003</v>
      </c>
      <c r="W76" s="128">
        <f>F76/U76*100</f>
        <v>120.01938800793295</v>
      </c>
      <c r="X76" s="122">
        <v>3037090.7729999996</v>
      </c>
      <c r="Y76" s="123">
        <f>X76-U76</f>
        <v>0</v>
      </c>
      <c r="AB76" s="123">
        <f>2708373.649-N76</f>
        <v>-58116.088999999221</v>
      </c>
    </row>
    <row r="77" spans="1:28" s="10" customFormat="1" ht="20.25" x14ac:dyDescent="0.25">
      <c r="A77" s="152" t="s">
        <v>9</v>
      </c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4"/>
    </row>
    <row r="78" spans="1:28" s="50" customFormat="1" ht="36.75" customHeight="1" x14ac:dyDescent="0.3">
      <c r="A78" s="24">
        <v>1</v>
      </c>
      <c r="B78" s="49" t="s">
        <v>12</v>
      </c>
      <c r="C78" s="25" t="s">
        <v>21</v>
      </c>
      <c r="D78" s="107">
        <f>D79+D80</f>
        <v>74276.903999999995</v>
      </c>
      <c r="E78" s="107">
        <f t="shared" ref="E78" si="108">D78</f>
        <v>74276.903999999995</v>
      </c>
      <c r="F78" s="98">
        <f t="shared" ref="F78:F97" si="109">SUM(G78:M78)</f>
        <v>99826.755000000005</v>
      </c>
      <c r="G78" s="98">
        <f t="shared" ref="G78:N78" si="110">G79+G80</f>
        <v>12864.64</v>
      </c>
      <c r="H78" s="98">
        <f t="shared" ref="H78:L78" si="111">H79+H80</f>
        <v>12004.367999999999</v>
      </c>
      <c r="I78" s="98">
        <f t="shared" si="111"/>
        <v>21577.853000000003</v>
      </c>
      <c r="J78" s="98">
        <f t="shared" si="111"/>
        <v>12320.983</v>
      </c>
      <c r="K78" s="98">
        <f t="shared" si="111"/>
        <v>14393.143</v>
      </c>
      <c r="L78" s="98">
        <f t="shared" si="111"/>
        <v>19519.350999999999</v>
      </c>
      <c r="M78" s="98">
        <f t="shared" si="110"/>
        <v>7146.4169999999995</v>
      </c>
      <c r="N78" s="100">
        <f t="shared" si="110"/>
        <v>43328.194000000003</v>
      </c>
      <c r="O78" s="101">
        <f t="shared" ref="O78:O92" si="112">F78-N78</f>
        <v>56498.561000000002</v>
      </c>
      <c r="P78" s="102">
        <f>F78/N78*100</f>
        <v>230.39675967108161</v>
      </c>
      <c r="Q78" s="101">
        <f t="shared" ref="Q78" si="113">Q79+Q80</f>
        <v>43328.193999999996</v>
      </c>
      <c r="R78" s="101">
        <f t="shared" ref="R78:R92" si="114">F78-Q78</f>
        <v>56498.561000000009</v>
      </c>
      <c r="S78" s="102">
        <f>F78/Q78*100</f>
        <v>230.39675967108164</v>
      </c>
      <c r="T78" s="102">
        <f t="shared" ref="T78:T97" si="115">F78/E78*100</f>
        <v>134.39810980813095</v>
      </c>
      <c r="U78" s="98">
        <f t="shared" ref="U78" si="116">U79+U80</f>
        <v>82943.816999999995</v>
      </c>
      <c r="V78" s="101">
        <f t="shared" ref="V78:V92" si="117">F78-U78</f>
        <v>16882.938000000009</v>
      </c>
      <c r="W78" s="102">
        <f>F78/U78*100</f>
        <v>120.35466730449602</v>
      </c>
    </row>
    <row r="79" spans="1:28" s="53" customFormat="1" ht="39" x14ac:dyDescent="0.3">
      <c r="A79" s="38" t="s">
        <v>113</v>
      </c>
      <c r="B79" s="84" t="s">
        <v>109</v>
      </c>
      <c r="C79" s="17" t="s">
        <v>110</v>
      </c>
      <c r="D79" s="108">
        <v>74276.903999999995</v>
      </c>
      <c r="E79" s="108">
        <v>74276.903999999995</v>
      </c>
      <c r="F79" s="103">
        <f t="shared" si="109"/>
        <v>54062.150999999991</v>
      </c>
      <c r="G79" s="103">
        <v>9648.0720000000001</v>
      </c>
      <c r="H79" s="103">
        <v>5486.2629999999999</v>
      </c>
      <c r="I79" s="103">
        <v>6175.7780000000002</v>
      </c>
      <c r="J79" s="103">
        <v>6187.8670000000002</v>
      </c>
      <c r="K79" s="103">
        <v>7899.8220000000001</v>
      </c>
      <c r="L79" s="103">
        <v>13366.040999999999</v>
      </c>
      <c r="M79" s="103">
        <v>5298.308</v>
      </c>
      <c r="N79" s="104">
        <v>43328.194000000003</v>
      </c>
      <c r="O79" s="105">
        <f t="shared" si="112"/>
        <v>10733.956999999988</v>
      </c>
      <c r="P79" s="106">
        <f>F79/N79*100</f>
        <v>124.77360814992655</v>
      </c>
      <c r="Q79" s="105">
        <f>E79/12*7</f>
        <v>43328.193999999996</v>
      </c>
      <c r="R79" s="105">
        <f t="shared" si="114"/>
        <v>10733.956999999995</v>
      </c>
      <c r="S79" s="106">
        <f>F79/Q79*100</f>
        <v>124.77360814992657</v>
      </c>
      <c r="T79" s="106">
        <f t="shared" si="115"/>
        <v>72.784604754123833</v>
      </c>
      <c r="U79" s="103">
        <v>56736.222999999998</v>
      </c>
      <c r="V79" s="105">
        <f t="shared" si="117"/>
        <v>-2674.0720000000074</v>
      </c>
      <c r="W79" s="106">
        <f>F79/U79*100</f>
        <v>95.286834655877598</v>
      </c>
    </row>
    <row r="80" spans="1:28" s="53" customFormat="1" ht="30.75" customHeight="1" x14ac:dyDescent="0.3">
      <c r="A80" s="38" t="s">
        <v>114</v>
      </c>
      <c r="B80" s="84" t="s">
        <v>111</v>
      </c>
      <c r="C80" s="17" t="s">
        <v>112</v>
      </c>
      <c r="D80" s="108">
        <v>0</v>
      </c>
      <c r="E80" s="108">
        <v>0</v>
      </c>
      <c r="F80" s="103">
        <f t="shared" si="109"/>
        <v>45764.603999999992</v>
      </c>
      <c r="G80" s="103">
        <v>3216.5680000000002</v>
      </c>
      <c r="H80" s="103">
        <v>6518.1049999999996</v>
      </c>
      <c r="I80" s="103">
        <v>15402.075000000001</v>
      </c>
      <c r="J80" s="103">
        <v>6133.116</v>
      </c>
      <c r="K80" s="103">
        <v>6493.3209999999999</v>
      </c>
      <c r="L80" s="103">
        <v>6153.31</v>
      </c>
      <c r="M80" s="103">
        <v>1848.1089999999999</v>
      </c>
      <c r="N80" s="104"/>
      <c r="O80" s="105">
        <f t="shared" si="112"/>
        <v>45764.603999999992</v>
      </c>
      <c r="P80" s="106"/>
      <c r="Q80" s="105"/>
      <c r="R80" s="105">
        <f t="shared" si="114"/>
        <v>45764.603999999992</v>
      </c>
      <c r="S80" s="106"/>
      <c r="T80" s="106"/>
      <c r="U80" s="103">
        <v>26207.593999999997</v>
      </c>
      <c r="V80" s="105">
        <f t="shared" si="117"/>
        <v>19557.009999999995</v>
      </c>
      <c r="W80" s="106">
        <f>F80/U80*100</f>
        <v>174.62344692916105</v>
      </c>
    </row>
    <row r="81" spans="1:24" s="50" customFormat="1" ht="39" x14ac:dyDescent="0.3">
      <c r="A81" s="24">
        <v>2</v>
      </c>
      <c r="B81" s="97" t="s">
        <v>144</v>
      </c>
      <c r="C81" s="25" t="s">
        <v>145</v>
      </c>
      <c r="D81" s="107">
        <v>0</v>
      </c>
      <c r="E81" s="107">
        <v>0</v>
      </c>
      <c r="F81" s="98">
        <f t="shared" si="109"/>
        <v>0</v>
      </c>
      <c r="G81" s="98">
        <v>0</v>
      </c>
      <c r="H81" s="98">
        <v>0</v>
      </c>
      <c r="I81" s="98">
        <v>0</v>
      </c>
      <c r="J81" s="98">
        <v>0</v>
      </c>
      <c r="K81" s="98">
        <v>0</v>
      </c>
      <c r="L81" s="98">
        <v>0</v>
      </c>
      <c r="M81" s="98">
        <v>0</v>
      </c>
      <c r="N81" s="100">
        <v>0</v>
      </c>
      <c r="O81" s="101">
        <f t="shared" ref="O81" si="118">F81-N81</f>
        <v>0</v>
      </c>
      <c r="P81" s="102"/>
      <c r="Q81" s="101"/>
      <c r="R81" s="101">
        <f t="shared" ref="R81" si="119">F81-Q81</f>
        <v>0</v>
      </c>
      <c r="S81" s="102"/>
      <c r="T81" s="102"/>
      <c r="U81" s="98">
        <v>38.006</v>
      </c>
      <c r="V81" s="101">
        <f t="shared" si="117"/>
        <v>-38.006</v>
      </c>
      <c r="W81" s="102"/>
    </row>
    <row r="82" spans="1:24" s="50" customFormat="1" ht="32.25" customHeight="1" x14ac:dyDescent="0.3">
      <c r="A82" s="24">
        <v>3</v>
      </c>
      <c r="B82" s="97" t="s">
        <v>32</v>
      </c>
      <c r="C82" s="25" t="s">
        <v>31</v>
      </c>
      <c r="D82" s="107">
        <v>2740</v>
      </c>
      <c r="E82" s="107">
        <v>2740</v>
      </c>
      <c r="F82" s="98">
        <f t="shared" si="109"/>
        <v>1458.021</v>
      </c>
      <c r="G82" s="98">
        <v>102.779</v>
      </c>
      <c r="H82" s="98">
        <v>321.11700000000002</v>
      </c>
      <c r="I82" s="98">
        <v>89.424000000000007</v>
      </c>
      <c r="J82" s="98">
        <v>110.73099999999999</v>
      </c>
      <c r="K82" s="98">
        <v>634.18100000000004</v>
      </c>
      <c r="L82" s="98">
        <v>94.954999999999998</v>
      </c>
      <c r="M82" s="98">
        <v>104.834</v>
      </c>
      <c r="N82" s="100">
        <v>1448</v>
      </c>
      <c r="O82" s="101">
        <f t="shared" si="112"/>
        <v>10.020999999999958</v>
      </c>
      <c r="P82" s="102">
        <f>F82/N82*100</f>
        <v>100.69205801104972</v>
      </c>
      <c r="Q82" s="101">
        <f>E82/12*7</f>
        <v>1598.3333333333335</v>
      </c>
      <c r="R82" s="101">
        <f t="shared" si="114"/>
        <v>-140.31233333333353</v>
      </c>
      <c r="S82" s="102">
        <f t="shared" ref="S82:S86" si="120">F82/Q82*100</f>
        <v>91.221334723670481</v>
      </c>
      <c r="T82" s="102">
        <f t="shared" si="115"/>
        <v>53.212445255474449</v>
      </c>
      <c r="U82" s="98">
        <v>1546.8050000000003</v>
      </c>
      <c r="V82" s="101">
        <f t="shared" si="117"/>
        <v>-88.784000000000333</v>
      </c>
      <c r="W82" s="102">
        <f>F82/U82*100</f>
        <v>94.260168540960223</v>
      </c>
    </row>
    <row r="83" spans="1:24" s="50" customFormat="1" ht="39" x14ac:dyDescent="0.3">
      <c r="A83" s="24">
        <v>4</v>
      </c>
      <c r="B83" s="97" t="s">
        <v>146</v>
      </c>
      <c r="C83" s="25" t="s">
        <v>147</v>
      </c>
      <c r="D83" s="107">
        <v>0</v>
      </c>
      <c r="E83" s="107">
        <v>0</v>
      </c>
      <c r="F83" s="98">
        <f t="shared" si="109"/>
        <v>0</v>
      </c>
      <c r="G83" s="98">
        <v>0</v>
      </c>
      <c r="H83" s="98">
        <v>0</v>
      </c>
      <c r="I83" s="98">
        <v>0</v>
      </c>
      <c r="J83" s="98">
        <v>0</v>
      </c>
      <c r="K83" s="98">
        <v>0</v>
      </c>
      <c r="L83" s="98">
        <v>0</v>
      </c>
      <c r="M83" s="98">
        <v>0</v>
      </c>
      <c r="N83" s="100">
        <v>0</v>
      </c>
      <c r="O83" s="101">
        <f t="shared" si="112"/>
        <v>0</v>
      </c>
      <c r="P83" s="102"/>
      <c r="Q83" s="101"/>
      <c r="R83" s="101">
        <f t="shared" ref="R83" si="121">F83-Q83</f>
        <v>0</v>
      </c>
      <c r="S83" s="102"/>
      <c r="T83" s="102"/>
      <c r="U83" s="98">
        <v>0.46499999999999997</v>
      </c>
      <c r="V83" s="101">
        <f t="shared" si="117"/>
        <v>-0.46499999999999997</v>
      </c>
      <c r="W83" s="102">
        <f>F83/U83*100</f>
        <v>0</v>
      </c>
    </row>
    <row r="84" spans="1:24" s="50" customFormat="1" ht="39" x14ac:dyDescent="0.3">
      <c r="A84" s="24">
        <v>5</v>
      </c>
      <c r="B84" s="97" t="s">
        <v>83</v>
      </c>
      <c r="C84" s="25">
        <v>21110000</v>
      </c>
      <c r="D84" s="107">
        <v>59</v>
      </c>
      <c r="E84" s="107">
        <v>59</v>
      </c>
      <c r="F84" s="98">
        <f t="shared" si="109"/>
        <v>0</v>
      </c>
      <c r="G84" s="98">
        <v>0</v>
      </c>
      <c r="H84" s="98">
        <v>0</v>
      </c>
      <c r="I84" s="98">
        <v>0</v>
      </c>
      <c r="J84" s="98">
        <v>0</v>
      </c>
      <c r="K84" s="98">
        <v>0</v>
      </c>
      <c r="L84" s="98">
        <v>0</v>
      </c>
      <c r="M84" s="98">
        <v>0</v>
      </c>
      <c r="N84" s="100">
        <v>0</v>
      </c>
      <c r="O84" s="101">
        <f t="shared" si="112"/>
        <v>0</v>
      </c>
      <c r="P84" s="102"/>
      <c r="Q84" s="101">
        <f t="shared" ref="Q84:Q85" si="122">E84/12*7</f>
        <v>34.416666666666671</v>
      </c>
      <c r="R84" s="101">
        <f t="shared" si="114"/>
        <v>-34.416666666666671</v>
      </c>
      <c r="S84" s="102">
        <f t="shared" si="120"/>
        <v>0</v>
      </c>
      <c r="T84" s="102">
        <f t="shared" si="115"/>
        <v>0</v>
      </c>
      <c r="U84" s="98">
        <v>0</v>
      </c>
      <c r="V84" s="101">
        <f t="shared" si="117"/>
        <v>0</v>
      </c>
      <c r="W84" s="102"/>
    </row>
    <row r="85" spans="1:24" s="50" customFormat="1" ht="58.5" x14ac:dyDescent="0.3">
      <c r="A85" s="24">
        <f t="shared" ref="A85:A86" si="123">A84+1</f>
        <v>6</v>
      </c>
      <c r="B85" s="49" t="s">
        <v>26</v>
      </c>
      <c r="C85" s="25" t="s">
        <v>25</v>
      </c>
      <c r="D85" s="107">
        <v>45</v>
      </c>
      <c r="E85" s="107">
        <v>45</v>
      </c>
      <c r="F85" s="98">
        <f t="shared" si="109"/>
        <v>43.216000000000001</v>
      </c>
      <c r="G85" s="98">
        <v>14.689</v>
      </c>
      <c r="H85" s="98">
        <v>2.5</v>
      </c>
      <c r="I85" s="98">
        <v>2.5</v>
      </c>
      <c r="J85" s="98">
        <v>18.527000000000001</v>
      </c>
      <c r="K85" s="98">
        <v>2.5</v>
      </c>
      <c r="L85" s="98">
        <v>0</v>
      </c>
      <c r="M85" s="98">
        <v>2.5</v>
      </c>
      <c r="N85" s="100">
        <v>43.215000000000003</v>
      </c>
      <c r="O85" s="101">
        <f t="shared" si="112"/>
        <v>9.9999999999766942E-4</v>
      </c>
      <c r="P85" s="102">
        <f>F85/N85*100</f>
        <v>100.00231401133865</v>
      </c>
      <c r="Q85" s="101">
        <f t="shared" si="122"/>
        <v>26.25</v>
      </c>
      <c r="R85" s="101">
        <f t="shared" si="114"/>
        <v>16.966000000000001</v>
      </c>
      <c r="S85" s="102">
        <f t="shared" si="120"/>
        <v>164.63238095238094</v>
      </c>
      <c r="T85" s="102">
        <f t="shared" si="115"/>
        <v>96.035555555555561</v>
      </c>
      <c r="U85" s="98">
        <v>18.18</v>
      </c>
      <c r="V85" s="101">
        <f t="shared" si="117"/>
        <v>25.036000000000001</v>
      </c>
      <c r="W85" s="102">
        <f>F85/U85*100</f>
        <v>237.71177117711773</v>
      </c>
    </row>
    <row r="86" spans="1:24" s="32" customFormat="1" ht="28.5" customHeight="1" x14ac:dyDescent="0.3">
      <c r="A86" s="12">
        <f t="shared" si="123"/>
        <v>7</v>
      </c>
      <c r="B86" s="16" t="s">
        <v>10</v>
      </c>
      <c r="C86" s="9"/>
      <c r="D86" s="46">
        <f>SUM(D87:D90)</f>
        <v>64200</v>
      </c>
      <c r="E86" s="46">
        <f>SUM(E87:E90)</f>
        <v>64200</v>
      </c>
      <c r="F86" s="46">
        <f t="shared" si="109"/>
        <v>48498.313000000002</v>
      </c>
      <c r="G86" s="46">
        <f t="shared" ref="G86:M86" si="124">SUM(G87:G90)</f>
        <v>1553.5920000000001</v>
      </c>
      <c r="H86" s="46">
        <f t="shared" si="124"/>
        <v>8330.6190000000006</v>
      </c>
      <c r="I86" s="46">
        <f t="shared" si="124"/>
        <v>2334.3040000000001</v>
      </c>
      <c r="J86" s="46">
        <f t="shared" si="124"/>
        <v>4531.2129999999997</v>
      </c>
      <c r="K86" s="46">
        <f t="shared" si="124"/>
        <v>10116.471</v>
      </c>
      <c r="L86" s="46">
        <f t="shared" ref="L86" si="125">SUM(L87:L90)</f>
        <v>5806.4089999999997</v>
      </c>
      <c r="M86" s="46">
        <f t="shared" si="124"/>
        <v>15825.705</v>
      </c>
      <c r="N86" s="46">
        <f>SUM(N87:N90)</f>
        <v>45836.114999999998</v>
      </c>
      <c r="O86" s="46">
        <f t="shared" si="112"/>
        <v>2662.198000000004</v>
      </c>
      <c r="P86" s="74">
        <f>F86/N86*100</f>
        <v>105.80807950237494</v>
      </c>
      <c r="Q86" s="46">
        <f>SUM(Q87:Q90)</f>
        <v>37450</v>
      </c>
      <c r="R86" s="73">
        <f t="shared" si="114"/>
        <v>11048.313000000002</v>
      </c>
      <c r="S86" s="74">
        <f t="shared" si="120"/>
        <v>129.50150333778373</v>
      </c>
      <c r="T86" s="74">
        <f t="shared" si="115"/>
        <v>75.542543613707167</v>
      </c>
      <c r="U86" s="46">
        <f>SUM(U87:U90)</f>
        <v>26521.949000000001</v>
      </c>
      <c r="V86" s="73">
        <f t="shared" si="117"/>
        <v>21976.364000000001</v>
      </c>
      <c r="W86" s="74">
        <f>F86/U86*100</f>
        <v>182.861044638914</v>
      </c>
      <c r="X86" s="51"/>
    </row>
    <row r="87" spans="1:24" s="53" customFormat="1" ht="39" x14ac:dyDescent="0.3">
      <c r="A87" s="14" t="s">
        <v>148</v>
      </c>
      <c r="B87" s="84" t="s">
        <v>123</v>
      </c>
      <c r="C87" s="17" t="s">
        <v>64</v>
      </c>
      <c r="D87" s="108">
        <v>0</v>
      </c>
      <c r="E87" s="108">
        <v>0</v>
      </c>
      <c r="F87" s="103">
        <f t="shared" si="109"/>
        <v>0</v>
      </c>
      <c r="G87" s="103">
        <v>0</v>
      </c>
      <c r="H87" s="103">
        <v>0</v>
      </c>
      <c r="I87" s="103">
        <v>0</v>
      </c>
      <c r="J87" s="103">
        <v>0</v>
      </c>
      <c r="K87" s="103">
        <v>0</v>
      </c>
      <c r="L87" s="103">
        <v>0</v>
      </c>
      <c r="M87" s="103">
        <v>0</v>
      </c>
      <c r="N87" s="104">
        <v>0</v>
      </c>
      <c r="O87" s="105">
        <f t="shared" si="112"/>
        <v>0</v>
      </c>
      <c r="P87" s="106"/>
      <c r="Q87" s="105">
        <f t="shared" ref="Q87:Q91" si="126">E87/12*7</f>
        <v>0</v>
      </c>
      <c r="R87" s="105">
        <f t="shared" si="114"/>
        <v>0</v>
      </c>
      <c r="S87" s="106"/>
      <c r="T87" s="106"/>
      <c r="U87" s="103">
        <v>1</v>
      </c>
      <c r="V87" s="105">
        <f t="shared" si="117"/>
        <v>-1</v>
      </c>
      <c r="W87" s="106"/>
    </row>
    <row r="88" spans="1:24" s="53" customFormat="1" ht="39" x14ac:dyDescent="0.3">
      <c r="A88" s="14" t="s">
        <v>149</v>
      </c>
      <c r="B88" s="84" t="s">
        <v>130</v>
      </c>
      <c r="C88" s="17" t="s">
        <v>45</v>
      </c>
      <c r="D88" s="108">
        <v>0</v>
      </c>
      <c r="E88" s="108">
        <v>1986</v>
      </c>
      <c r="F88" s="103">
        <f t="shared" si="109"/>
        <v>1986.1869999999999</v>
      </c>
      <c r="G88" s="103">
        <v>505.08499999999998</v>
      </c>
      <c r="H88" s="103">
        <v>1056.664</v>
      </c>
      <c r="I88" s="103">
        <v>424.43799999999999</v>
      </c>
      <c r="J88" s="103">
        <v>0</v>
      </c>
      <c r="K88" s="103">
        <v>0</v>
      </c>
      <c r="L88" s="103">
        <v>0</v>
      </c>
      <c r="M88" s="103">
        <v>0</v>
      </c>
      <c r="N88" s="104">
        <v>1986</v>
      </c>
      <c r="O88" s="105">
        <f t="shared" si="112"/>
        <v>0.18699999999989814</v>
      </c>
      <c r="P88" s="106">
        <f t="shared" ref="P88:P95" si="127">F88/N88*100</f>
        <v>100.00941591137966</v>
      </c>
      <c r="Q88" s="105">
        <f t="shared" si="126"/>
        <v>1158.5</v>
      </c>
      <c r="R88" s="105">
        <f t="shared" si="114"/>
        <v>827.6869999999999</v>
      </c>
      <c r="S88" s="106">
        <f t="shared" ref="S88:S95" si="128">F88/Q88*100</f>
        <v>171.44471299093655</v>
      </c>
      <c r="T88" s="106">
        <f t="shared" ref="T88" si="129">F88/E88*100</f>
        <v>100.00941591137966</v>
      </c>
      <c r="U88" s="103">
        <v>1338.73</v>
      </c>
      <c r="V88" s="105">
        <f t="shared" si="117"/>
        <v>647.45699999999988</v>
      </c>
      <c r="W88" s="106">
        <f>F88/U88*100</f>
        <v>148.36352363807487</v>
      </c>
    </row>
    <row r="89" spans="1:24" s="53" customFormat="1" ht="23.25" x14ac:dyDescent="0.3">
      <c r="A89" s="14" t="s">
        <v>150</v>
      </c>
      <c r="B89" s="84" t="s">
        <v>37</v>
      </c>
      <c r="C89" s="17" t="s">
        <v>22</v>
      </c>
      <c r="D89" s="108">
        <v>19200</v>
      </c>
      <c r="E89" s="108">
        <f>19200-1986</f>
        <v>17214</v>
      </c>
      <c r="F89" s="103">
        <f t="shared" si="109"/>
        <v>3806.527</v>
      </c>
      <c r="G89" s="103">
        <v>0</v>
      </c>
      <c r="H89" s="103">
        <v>0</v>
      </c>
      <c r="I89" s="103">
        <v>0</v>
      </c>
      <c r="J89" s="103">
        <v>0</v>
      </c>
      <c r="K89" s="103">
        <v>3805.857</v>
      </c>
      <c r="L89" s="103">
        <v>0</v>
      </c>
      <c r="M89" s="103">
        <v>0.67</v>
      </c>
      <c r="N89" s="104">
        <v>3805</v>
      </c>
      <c r="O89" s="105">
        <f t="shared" si="112"/>
        <v>1.5270000000000437</v>
      </c>
      <c r="P89" s="106">
        <f t="shared" si="127"/>
        <v>100.04013140604468</v>
      </c>
      <c r="Q89" s="105">
        <f t="shared" si="126"/>
        <v>10041.5</v>
      </c>
      <c r="R89" s="105">
        <f t="shared" si="114"/>
        <v>-6234.973</v>
      </c>
      <c r="S89" s="106">
        <f t="shared" si="128"/>
        <v>37.907951999203306</v>
      </c>
      <c r="T89" s="106">
        <f t="shared" si="115"/>
        <v>22.112971999535265</v>
      </c>
      <c r="U89" s="103">
        <v>11449.331</v>
      </c>
      <c r="V89" s="105">
        <f t="shared" si="117"/>
        <v>-7642.8040000000001</v>
      </c>
      <c r="W89" s="106">
        <f>F89/U89*100</f>
        <v>33.246719830180474</v>
      </c>
    </row>
    <row r="90" spans="1:24" s="52" customFormat="1" ht="23.25" x14ac:dyDescent="0.3">
      <c r="A90" s="14" t="s">
        <v>151</v>
      </c>
      <c r="B90" s="41" t="s">
        <v>66</v>
      </c>
      <c r="C90" s="17" t="s">
        <v>43</v>
      </c>
      <c r="D90" s="108">
        <v>45000</v>
      </c>
      <c r="E90" s="108">
        <v>45000</v>
      </c>
      <c r="F90" s="108">
        <f t="shared" si="109"/>
        <v>42705.599000000002</v>
      </c>
      <c r="G90" s="108">
        <v>1048.5070000000001</v>
      </c>
      <c r="H90" s="108">
        <v>7273.9549999999999</v>
      </c>
      <c r="I90" s="108">
        <v>1909.866</v>
      </c>
      <c r="J90" s="108">
        <v>4531.2129999999997</v>
      </c>
      <c r="K90" s="108">
        <v>6310.6139999999996</v>
      </c>
      <c r="L90" s="108">
        <v>5806.4089999999997</v>
      </c>
      <c r="M90" s="108">
        <v>15825.035</v>
      </c>
      <c r="N90" s="108">
        <v>40045.114999999998</v>
      </c>
      <c r="O90" s="105">
        <f t="shared" si="112"/>
        <v>2660.484000000004</v>
      </c>
      <c r="P90" s="106">
        <f t="shared" si="127"/>
        <v>106.6437167180067</v>
      </c>
      <c r="Q90" s="105">
        <f t="shared" si="126"/>
        <v>26250</v>
      </c>
      <c r="R90" s="105">
        <f t="shared" si="114"/>
        <v>16455.599000000002</v>
      </c>
      <c r="S90" s="106">
        <f t="shared" si="128"/>
        <v>162.68799619047621</v>
      </c>
      <c r="T90" s="106">
        <f t="shared" si="115"/>
        <v>94.901331111111119</v>
      </c>
      <c r="U90" s="108">
        <v>13732.888000000001</v>
      </c>
      <c r="V90" s="105">
        <f t="shared" si="117"/>
        <v>28972.711000000003</v>
      </c>
      <c r="W90" s="106">
        <f>F90/U90*100</f>
        <v>310.97318349934841</v>
      </c>
    </row>
    <row r="91" spans="1:24" s="50" customFormat="1" ht="23.25" x14ac:dyDescent="0.3">
      <c r="A91" s="24">
        <v>8</v>
      </c>
      <c r="B91" s="97" t="s">
        <v>11</v>
      </c>
      <c r="C91" s="25" t="s">
        <v>23</v>
      </c>
      <c r="D91" s="107">
        <v>7550.1</v>
      </c>
      <c r="E91" s="107">
        <v>7550.1</v>
      </c>
      <c r="F91" s="98">
        <f t="shared" si="109"/>
        <v>7551.4380000000001</v>
      </c>
      <c r="G91" s="98">
        <v>1846.4469999999999</v>
      </c>
      <c r="H91" s="98">
        <v>276.541</v>
      </c>
      <c r="I91" s="98">
        <v>2470.1729999999998</v>
      </c>
      <c r="J91" s="98">
        <v>804.18299999999999</v>
      </c>
      <c r="K91" s="98">
        <v>572.83699999999999</v>
      </c>
      <c r="L91" s="98">
        <v>1244.58</v>
      </c>
      <c r="M91" s="98">
        <v>336.67700000000002</v>
      </c>
      <c r="N91" s="100">
        <v>7540.1</v>
      </c>
      <c r="O91" s="101">
        <f t="shared" si="112"/>
        <v>11.337999999999738</v>
      </c>
      <c r="P91" s="102">
        <f t="shared" si="127"/>
        <v>100.15036935849658</v>
      </c>
      <c r="Q91" s="101">
        <f t="shared" si="126"/>
        <v>4404.2250000000004</v>
      </c>
      <c r="R91" s="101">
        <f t="shared" si="114"/>
        <v>3147.2129999999997</v>
      </c>
      <c r="S91" s="102">
        <f t="shared" si="128"/>
        <v>171.45895134785349</v>
      </c>
      <c r="T91" s="102">
        <f t="shared" si="115"/>
        <v>100.0177216195812</v>
      </c>
      <c r="U91" s="98">
        <v>3137.5569999999998</v>
      </c>
      <c r="V91" s="101">
        <f t="shared" si="117"/>
        <v>4413.8810000000003</v>
      </c>
      <c r="W91" s="102">
        <f>F91/U91*100</f>
        <v>240.67891037517407</v>
      </c>
    </row>
    <row r="92" spans="1:24" s="44" customFormat="1" ht="30" customHeight="1" x14ac:dyDescent="0.3">
      <c r="A92" s="175"/>
      <c r="B92" s="168" t="s">
        <v>185</v>
      </c>
      <c r="C92" s="45"/>
      <c r="D92" s="46">
        <f>D78+D82+D85+D87+D88+D89+D90+D91+D84</f>
        <v>148871.00399999999</v>
      </c>
      <c r="E92" s="46">
        <f>E78+E82+E85+E87+E88+E89+E90+E91+E84</f>
        <v>148871.00399999999</v>
      </c>
      <c r="F92" s="46">
        <f t="shared" si="109"/>
        <v>157377.74299999999</v>
      </c>
      <c r="G92" s="46">
        <f t="shared" ref="G92:N92" si="130">G78+G82+G85+G87+G88+G89+G90+G91+G84</f>
        <v>16382.146999999999</v>
      </c>
      <c r="H92" s="46">
        <f t="shared" ref="H92:M92" si="131">H78+H82+H85+H87+H88+H89+H90+H91+H84</f>
        <v>20935.145</v>
      </c>
      <c r="I92" s="46">
        <f t="shared" ref="I92:L92" si="132">I78+I82+I85+I87+I88+I89+I90+I91+I84</f>
        <v>26474.253999999997</v>
      </c>
      <c r="J92" s="46">
        <f t="shared" si="132"/>
        <v>17785.636999999999</v>
      </c>
      <c r="K92" s="46">
        <f t="shared" si="132"/>
        <v>25719.131999999998</v>
      </c>
      <c r="L92" s="46">
        <f t="shared" si="132"/>
        <v>26665.294999999998</v>
      </c>
      <c r="M92" s="46">
        <f t="shared" si="131"/>
        <v>23416.132999999998</v>
      </c>
      <c r="N92" s="46">
        <f t="shared" si="130"/>
        <v>98195.624000000011</v>
      </c>
      <c r="O92" s="73">
        <f t="shared" si="112"/>
        <v>59182.118999999977</v>
      </c>
      <c r="P92" s="74">
        <f t="shared" si="127"/>
        <v>160.26960936670659</v>
      </c>
      <c r="Q92" s="73">
        <f>Q78+Q82+Q85+Q87+Q88+Q89+Q90+Q91+Q84</f>
        <v>86841.419000000009</v>
      </c>
      <c r="R92" s="73">
        <f t="shared" si="114"/>
        <v>70536.323999999979</v>
      </c>
      <c r="S92" s="74">
        <f t="shared" si="128"/>
        <v>181.22428768696187</v>
      </c>
      <c r="T92" s="74">
        <f t="shared" si="115"/>
        <v>105.71416781739444</v>
      </c>
      <c r="U92" s="46">
        <f>U78+U82+U85+U87+U88+U89+U90+U91+U84+U81+U83</f>
        <v>114206.77899999999</v>
      </c>
      <c r="V92" s="73">
        <f t="shared" si="117"/>
        <v>43170.963999999993</v>
      </c>
      <c r="W92" s="74">
        <f>F92/U92*100</f>
        <v>137.8007018304929</v>
      </c>
    </row>
    <row r="93" spans="1:24" s="27" customFormat="1" ht="78" x14ac:dyDescent="0.25">
      <c r="A93" s="24">
        <v>1</v>
      </c>
      <c r="B93" s="49" t="s">
        <v>173</v>
      </c>
      <c r="C93" s="25" t="s">
        <v>69</v>
      </c>
      <c r="D93" s="107">
        <v>129236.2</v>
      </c>
      <c r="E93" s="107">
        <v>129236.2</v>
      </c>
      <c r="F93" s="107">
        <f t="shared" si="109"/>
        <v>34000</v>
      </c>
      <c r="G93" s="107">
        <v>0</v>
      </c>
      <c r="H93" s="107">
        <v>0</v>
      </c>
      <c r="I93" s="107">
        <v>0</v>
      </c>
      <c r="J93" s="107">
        <v>34000</v>
      </c>
      <c r="K93" s="107">
        <v>0</v>
      </c>
      <c r="L93" s="107">
        <v>0</v>
      </c>
      <c r="M93" s="107">
        <v>0</v>
      </c>
      <c r="N93" s="107">
        <v>129236.2</v>
      </c>
      <c r="O93" s="101">
        <f>F93-N93</f>
        <v>-95236.2</v>
      </c>
      <c r="P93" s="110">
        <f t="shared" si="127"/>
        <v>26.308418229567259</v>
      </c>
      <c r="Q93" s="107">
        <f>E93</f>
        <v>129236.2</v>
      </c>
      <c r="R93" s="101">
        <f>F93-Q93</f>
        <v>-95236.2</v>
      </c>
      <c r="S93" s="110">
        <f t="shared" si="128"/>
        <v>26.308418229567259</v>
      </c>
      <c r="T93" s="110">
        <f t="shared" si="115"/>
        <v>26.308418229567259</v>
      </c>
      <c r="U93" s="107">
        <v>0</v>
      </c>
      <c r="V93" s="101">
        <f>F93-U93</f>
        <v>34000</v>
      </c>
      <c r="W93" s="102"/>
    </row>
    <row r="94" spans="1:24" s="43" customFormat="1" ht="32.25" customHeight="1" x14ac:dyDescent="0.3">
      <c r="A94" s="170"/>
      <c r="B94" s="48" t="s">
        <v>27</v>
      </c>
      <c r="C94" s="45"/>
      <c r="D94" s="46">
        <f>D95+D96</f>
        <v>129236.2</v>
      </c>
      <c r="E94" s="46">
        <f>E95+E96</f>
        <v>129236.2</v>
      </c>
      <c r="F94" s="46">
        <f t="shared" si="109"/>
        <v>34000</v>
      </c>
      <c r="G94" s="46">
        <f t="shared" ref="G94:N94" si="133">G95+G96</f>
        <v>0</v>
      </c>
      <c r="H94" s="46">
        <f t="shared" si="133"/>
        <v>0</v>
      </c>
      <c r="I94" s="46">
        <f t="shared" si="133"/>
        <v>0</v>
      </c>
      <c r="J94" s="46">
        <f t="shared" si="133"/>
        <v>34000</v>
      </c>
      <c r="K94" s="46">
        <f t="shared" si="133"/>
        <v>0</v>
      </c>
      <c r="L94" s="46">
        <f t="shared" ref="L94" si="134">L95+L96</f>
        <v>0</v>
      </c>
      <c r="M94" s="46">
        <f t="shared" si="133"/>
        <v>0</v>
      </c>
      <c r="N94" s="46">
        <f t="shared" si="133"/>
        <v>129236.2</v>
      </c>
      <c r="O94" s="73">
        <f>F94-N94</f>
        <v>-95236.2</v>
      </c>
      <c r="P94" s="74">
        <f t="shared" si="127"/>
        <v>26.308418229567259</v>
      </c>
      <c r="Q94" s="46">
        <f>Q95+Q96</f>
        <v>129236.2</v>
      </c>
      <c r="R94" s="73">
        <f>F94-Q94</f>
        <v>-95236.2</v>
      </c>
      <c r="S94" s="74">
        <f t="shared" si="128"/>
        <v>26.308418229567259</v>
      </c>
      <c r="T94" s="74">
        <f t="shared" si="115"/>
        <v>26.308418229567259</v>
      </c>
      <c r="U94" s="46">
        <f>U95+U96</f>
        <v>0</v>
      </c>
      <c r="V94" s="73">
        <f>F94-U94</f>
        <v>34000</v>
      </c>
      <c r="W94" s="74"/>
    </row>
    <row r="95" spans="1:24" s="8" customFormat="1" ht="29.25" customHeight="1" x14ac:dyDescent="0.25">
      <c r="A95" s="14"/>
      <c r="B95" s="17" t="s">
        <v>97</v>
      </c>
      <c r="C95" s="17"/>
      <c r="D95" s="108">
        <f>D93</f>
        <v>129236.2</v>
      </c>
      <c r="E95" s="108">
        <f>E93</f>
        <v>129236.2</v>
      </c>
      <c r="F95" s="108">
        <f t="shared" si="109"/>
        <v>34000</v>
      </c>
      <c r="G95" s="108">
        <f t="shared" ref="G95:N95" si="135">G93</f>
        <v>0</v>
      </c>
      <c r="H95" s="108">
        <f t="shared" si="135"/>
        <v>0</v>
      </c>
      <c r="I95" s="108">
        <f t="shared" si="135"/>
        <v>0</v>
      </c>
      <c r="J95" s="108">
        <f t="shared" si="135"/>
        <v>34000</v>
      </c>
      <c r="K95" s="108">
        <f t="shared" si="135"/>
        <v>0</v>
      </c>
      <c r="L95" s="108">
        <f t="shared" si="135"/>
        <v>0</v>
      </c>
      <c r="M95" s="108">
        <f t="shared" si="135"/>
        <v>0</v>
      </c>
      <c r="N95" s="108">
        <f t="shared" si="135"/>
        <v>129236.2</v>
      </c>
      <c r="O95" s="105">
        <f>F95-N95</f>
        <v>-95236.2</v>
      </c>
      <c r="P95" s="106">
        <f t="shared" si="127"/>
        <v>26.308418229567259</v>
      </c>
      <c r="Q95" s="108">
        <f>Q93</f>
        <v>129236.2</v>
      </c>
      <c r="R95" s="105">
        <f>F95-Q95</f>
        <v>-95236.2</v>
      </c>
      <c r="S95" s="106">
        <f t="shared" si="128"/>
        <v>26.308418229567259</v>
      </c>
      <c r="T95" s="106">
        <f t="shared" si="115"/>
        <v>26.308418229567259</v>
      </c>
      <c r="U95" s="108">
        <f>U93</f>
        <v>0</v>
      </c>
      <c r="V95" s="105">
        <f>F95-U95</f>
        <v>34000</v>
      </c>
      <c r="W95" s="106"/>
    </row>
    <row r="96" spans="1:24" s="8" customFormat="1" ht="29.25" customHeight="1" x14ac:dyDescent="0.25">
      <c r="A96" s="14"/>
      <c r="B96" s="140" t="s">
        <v>96</v>
      </c>
      <c r="C96" s="17"/>
      <c r="D96" s="108">
        <v>0</v>
      </c>
      <c r="E96" s="108">
        <v>0</v>
      </c>
      <c r="F96" s="108">
        <f t="shared" si="109"/>
        <v>0</v>
      </c>
      <c r="G96" s="108">
        <v>0</v>
      </c>
      <c r="H96" s="108">
        <v>0</v>
      </c>
      <c r="I96" s="108">
        <v>0</v>
      </c>
      <c r="J96" s="108">
        <v>0</v>
      </c>
      <c r="K96" s="108">
        <v>0</v>
      </c>
      <c r="L96" s="108">
        <v>0</v>
      </c>
      <c r="M96" s="108">
        <v>0</v>
      </c>
      <c r="N96" s="108">
        <v>0</v>
      </c>
      <c r="O96" s="105">
        <f>F96-N96</f>
        <v>0</v>
      </c>
      <c r="P96" s="106"/>
      <c r="Q96" s="108">
        <v>0</v>
      </c>
      <c r="R96" s="105">
        <f>F96-Q96</f>
        <v>0</v>
      </c>
      <c r="S96" s="106"/>
      <c r="T96" s="106"/>
      <c r="U96" s="108">
        <v>0</v>
      </c>
      <c r="V96" s="105">
        <f>F96-U96</f>
        <v>0</v>
      </c>
      <c r="W96" s="106"/>
    </row>
    <row r="97" spans="1:25" s="124" customFormat="1" ht="29.25" customHeight="1" x14ac:dyDescent="0.3">
      <c r="A97" s="172"/>
      <c r="B97" s="173" t="s">
        <v>42</v>
      </c>
      <c r="C97" s="125"/>
      <c r="D97" s="126">
        <f>D92+D94</f>
        <v>278107.20399999997</v>
      </c>
      <c r="E97" s="126">
        <f>E92+E94</f>
        <v>278107.20399999997</v>
      </c>
      <c r="F97" s="126">
        <f t="shared" si="109"/>
        <v>191377.74299999999</v>
      </c>
      <c r="G97" s="126">
        <f t="shared" ref="G97:N97" si="136">G92+G94</f>
        <v>16382.146999999999</v>
      </c>
      <c r="H97" s="126">
        <f t="shared" si="136"/>
        <v>20935.145</v>
      </c>
      <c r="I97" s="126">
        <f t="shared" si="136"/>
        <v>26474.253999999997</v>
      </c>
      <c r="J97" s="126">
        <f t="shared" si="136"/>
        <v>51785.637000000002</v>
      </c>
      <c r="K97" s="126">
        <f t="shared" si="136"/>
        <v>25719.131999999998</v>
      </c>
      <c r="L97" s="126">
        <f t="shared" si="136"/>
        <v>26665.294999999998</v>
      </c>
      <c r="M97" s="126">
        <f t="shared" si="136"/>
        <v>23416.132999999998</v>
      </c>
      <c r="N97" s="126">
        <f t="shared" si="136"/>
        <v>227431.82400000002</v>
      </c>
      <c r="O97" s="127">
        <f>F97-N97</f>
        <v>-36054.081000000035</v>
      </c>
      <c r="P97" s="128">
        <f>F97/N97*100</f>
        <v>84.147301654670798</v>
      </c>
      <c r="Q97" s="126">
        <f>Q92+Q94</f>
        <v>216077.61900000001</v>
      </c>
      <c r="R97" s="127">
        <f>F97-Q97</f>
        <v>-24699.876000000018</v>
      </c>
      <c r="S97" s="128">
        <f>F97/Q97*100</f>
        <v>88.568979927532425</v>
      </c>
      <c r="T97" s="128">
        <f t="shared" si="115"/>
        <v>68.814378141747099</v>
      </c>
      <c r="U97" s="126">
        <f>U92+U94</f>
        <v>114206.77899999999</v>
      </c>
      <c r="V97" s="127">
        <f>F97-U97</f>
        <v>77170.963999999993</v>
      </c>
      <c r="W97" s="128">
        <f>F97/U97*100</f>
        <v>167.57126387392466</v>
      </c>
      <c r="X97" s="122">
        <v>102088.93400000001</v>
      </c>
      <c r="Y97" s="122">
        <f>X97-U97</f>
        <v>-12117.844999999987</v>
      </c>
    </row>
    <row r="98" spans="1:25" s="13" customFormat="1" ht="20.25" x14ac:dyDescent="0.25">
      <c r="A98" s="155" t="s">
        <v>41</v>
      </c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7"/>
    </row>
    <row r="99" spans="1:25" s="124" customFormat="1" ht="29.25" customHeight="1" x14ac:dyDescent="0.3">
      <c r="A99" s="130"/>
      <c r="B99" s="173" t="s">
        <v>187</v>
      </c>
      <c r="C99" s="125"/>
      <c r="D99" s="126">
        <f>D50+D92</f>
        <v>5056266.4890000001</v>
      </c>
      <c r="E99" s="126">
        <f>E50+E92</f>
        <v>5814202.5039999997</v>
      </c>
      <c r="F99" s="126">
        <f t="shared" ref="F99:F108" si="137">SUM(G99:M99)</f>
        <v>3228203.3480000007</v>
      </c>
      <c r="G99" s="126">
        <f t="shared" ref="G99:N99" si="138">G50+G92</f>
        <v>425834.97399999999</v>
      </c>
      <c r="H99" s="126">
        <f t="shared" si="138"/>
        <v>452726.505</v>
      </c>
      <c r="I99" s="126">
        <f t="shared" si="138"/>
        <v>428206.02699999989</v>
      </c>
      <c r="J99" s="126">
        <f t="shared" si="138"/>
        <v>471094.10499999992</v>
      </c>
      <c r="K99" s="126">
        <f t="shared" si="138"/>
        <v>473602.75400000013</v>
      </c>
      <c r="L99" s="126">
        <f t="shared" si="138"/>
        <v>475594.37900000013</v>
      </c>
      <c r="M99" s="126">
        <f t="shared" si="138"/>
        <v>501144.60400000011</v>
      </c>
      <c r="N99" s="126">
        <f t="shared" si="138"/>
        <v>2290335.8989999993</v>
      </c>
      <c r="O99" s="127">
        <f>F99-N99</f>
        <v>937867.44900000142</v>
      </c>
      <c r="P99" s="128">
        <f>F99/N99*100</f>
        <v>140.94890401925284</v>
      </c>
      <c r="Q99" s="126">
        <f>Q50+Q92</f>
        <v>3391618.1273333342</v>
      </c>
      <c r="R99" s="127">
        <f>F99-Q99</f>
        <v>-163414.77933333348</v>
      </c>
      <c r="S99" s="128">
        <f>F99/Q99*100</f>
        <v>95.181804873126481</v>
      </c>
      <c r="T99" s="128">
        <f t="shared" ref="T99:T108" si="139">F99/E99*100</f>
        <v>55.522719509323807</v>
      </c>
      <c r="U99" s="126">
        <f>U50+U92</f>
        <v>2609164.3770000008</v>
      </c>
      <c r="V99" s="127">
        <f>F99-U99</f>
        <v>619038.9709999999</v>
      </c>
      <c r="W99" s="128">
        <f>F99/U99*100</f>
        <v>123.7255642632898</v>
      </c>
    </row>
    <row r="100" spans="1:25" s="129" customFormat="1" ht="14.25" customHeight="1" x14ac:dyDescent="0.3">
      <c r="A100" s="130"/>
      <c r="B100" s="131"/>
      <c r="C100" s="125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7"/>
      <c r="P100" s="128"/>
      <c r="Q100" s="126"/>
      <c r="R100" s="127"/>
      <c r="S100" s="128"/>
      <c r="T100" s="128"/>
      <c r="U100" s="126"/>
      <c r="V100" s="127"/>
      <c r="W100" s="128"/>
    </row>
    <row r="101" spans="1:25" s="43" customFormat="1" ht="28.5" customHeight="1" x14ac:dyDescent="0.3">
      <c r="A101" s="170"/>
      <c r="B101" s="48" t="s">
        <v>27</v>
      </c>
      <c r="C101" s="45"/>
      <c r="D101" s="46">
        <f>D102+D103+D104</f>
        <v>133380.20000000001</v>
      </c>
      <c r="E101" s="46">
        <f>E102+E103+E104</f>
        <v>975874.83899999992</v>
      </c>
      <c r="F101" s="46">
        <f t="shared" si="137"/>
        <v>608272.15399999998</v>
      </c>
      <c r="G101" s="46">
        <f>G102+G103+G104</f>
        <v>59687.450000000004</v>
      </c>
      <c r="H101" s="46">
        <f t="shared" ref="H101:M101" si="140">H102+H103+H104</f>
        <v>59884.137000000002</v>
      </c>
      <c r="I101" s="46">
        <f t="shared" ref="I101:L101" si="141">I102+I103+I104</f>
        <v>64901.864000000001</v>
      </c>
      <c r="J101" s="46">
        <f t="shared" si="141"/>
        <v>95351.79</v>
      </c>
      <c r="K101" s="46">
        <f t="shared" si="141"/>
        <v>77675.923999999999</v>
      </c>
      <c r="L101" s="46">
        <f t="shared" si="141"/>
        <v>157907.46900000001</v>
      </c>
      <c r="M101" s="46">
        <f t="shared" si="140"/>
        <v>92863.52</v>
      </c>
      <c r="N101" s="46">
        <f>N102+N103+N104</f>
        <v>703585.66299999994</v>
      </c>
      <c r="O101" s="73">
        <f>F101-N101</f>
        <v>-95313.508999999962</v>
      </c>
      <c r="P101" s="74">
        <f>F101/N101*100</f>
        <v>86.453176349046785</v>
      </c>
      <c r="Q101" s="46">
        <f>Q102+Q103+Q104</f>
        <v>703585.66299999994</v>
      </c>
      <c r="R101" s="73">
        <f>F101-Q101</f>
        <v>-95313.508999999962</v>
      </c>
      <c r="S101" s="74">
        <f>F101/Q101*100</f>
        <v>86.453176349046785</v>
      </c>
      <c r="T101" s="74">
        <f t="shared" si="139"/>
        <v>62.330959841459752</v>
      </c>
      <c r="U101" s="46">
        <f>U102+U103+U104</f>
        <v>542133.17499999993</v>
      </c>
      <c r="V101" s="73">
        <f>F101-U101</f>
        <v>66138.97900000005</v>
      </c>
      <c r="W101" s="74">
        <f>F101/U101*100</f>
        <v>112.19976604457014</v>
      </c>
    </row>
    <row r="102" spans="1:25" s="47" customFormat="1" ht="31.5" customHeight="1" x14ac:dyDescent="0.3">
      <c r="A102" s="133"/>
      <c r="B102" s="132" t="s">
        <v>161</v>
      </c>
      <c r="C102" s="45"/>
      <c r="D102" s="46">
        <f>D70</f>
        <v>0</v>
      </c>
      <c r="E102" s="46">
        <f>E70</f>
        <v>10995.7</v>
      </c>
      <c r="F102" s="46">
        <f>SUM(G102:M102)</f>
        <v>6414.1</v>
      </c>
      <c r="G102" s="46">
        <f t="shared" ref="G102:N103" si="142">G70</f>
        <v>0</v>
      </c>
      <c r="H102" s="46">
        <f t="shared" si="142"/>
        <v>0</v>
      </c>
      <c r="I102" s="46">
        <f t="shared" si="142"/>
        <v>2748.9</v>
      </c>
      <c r="J102" s="46">
        <f t="shared" si="142"/>
        <v>916.3</v>
      </c>
      <c r="K102" s="46">
        <f t="shared" si="142"/>
        <v>916.3</v>
      </c>
      <c r="L102" s="46">
        <f t="shared" si="142"/>
        <v>916.3</v>
      </c>
      <c r="M102" s="46">
        <f t="shared" si="142"/>
        <v>916.3</v>
      </c>
      <c r="N102" s="46">
        <f t="shared" si="142"/>
        <v>6414.1</v>
      </c>
      <c r="O102" s="73">
        <f t="shared" ref="O102:O103" si="143">F102-N102</f>
        <v>0</v>
      </c>
      <c r="P102" s="74">
        <f t="shared" ref="P102:P103" si="144">F102/N102*100</f>
        <v>100</v>
      </c>
      <c r="Q102" s="46">
        <f>Q70</f>
        <v>6414.1</v>
      </c>
      <c r="R102" s="73">
        <f t="shared" ref="R102:R103" si="145">F102-Q102</f>
        <v>0</v>
      </c>
      <c r="S102" s="74">
        <f t="shared" ref="S102:S103" si="146">F102/Q102*100</f>
        <v>100</v>
      </c>
      <c r="T102" s="74">
        <f t="shared" ref="T102:T103" si="147">F102/E102*100</f>
        <v>58.332802822921693</v>
      </c>
      <c r="U102" s="46">
        <f>U70</f>
        <v>0</v>
      </c>
      <c r="V102" s="73">
        <f t="shared" ref="V102:V103" si="148">F102-U102</f>
        <v>6414.1</v>
      </c>
      <c r="W102" s="74"/>
    </row>
    <row r="103" spans="1:25" s="47" customFormat="1" ht="31.5" customHeight="1" x14ac:dyDescent="0.3">
      <c r="A103" s="133"/>
      <c r="B103" s="132" t="s">
        <v>108</v>
      </c>
      <c r="C103" s="45"/>
      <c r="D103" s="46">
        <f>D71</f>
        <v>0</v>
      </c>
      <c r="E103" s="46">
        <f>E71</f>
        <v>3201.0839999999998</v>
      </c>
      <c r="F103" s="46">
        <f>SUM(G103:M103)</f>
        <v>3201.0839999999998</v>
      </c>
      <c r="G103" s="46">
        <f t="shared" si="142"/>
        <v>0</v>
      </c>
      <c r="H103" s="46">
        <f t="shared" si="142"/>
        <v>0</v>
      </c>
      <c r="I103" s="46">
        <f t="shared" si="142"/>
        <v>0</v>
      </c>
      <c r="J103" s="46">
        <f t="shared" si="142"/>
        <v>0</v>
      </c>
      <c r="K103" s="46">
        <f t="shared" si="142"/>
        <v>0</v>
      </c>
      <c r="L103" s="46">
        <f t="shared" si="142"/>
        <v>3201.0839999999998</v>
      </c>
      <c r="M103" s="46">
        <f t="shared" si="142"/>
        <v>0</v>
      </c>
      <c r="N103" s="46">
        <f t="shared" si="142"/>
        <v>3201.0839999999998</v>
      </c>
      <c r="O103" s="73">
        <f t="shared" si="143"/>
        <v>0</v>
      </c>
      <c r="P103" s="74">
        <f t="shared" si="144"/>
        <v>100</v>
      </c>
      <c r="Q103" s="46">
        <f>Q71</f>
        <v>3201.0839999999998</v>
      </c>
      <c r="R103" s="73">
        <f t="shared" si="145"/>
        <v>0</v>
      </c>
      <c r="S103" s="74">
        <f t="shared" si="146"/>
        <v>100</v>
      </c>
      <c r="T103" s="74">
        <f t="shared" si="147"/>
        <v>100</v>
      </c>
      <c r="U103" s="46">
        <f>U71</f>
        <v>19953.14</v>
      </c>
      <c r="V103" s="73">
        <f t="shared" si="148"/>
        <v>-16752.056</v>
      </c>
      <c r="W103" s="74">
        <f>F103/U103*100</f>
        <v>16.043008769547047</v>
      </c>
    </row>
    <row r="104" spans="1:25" s="47" customFormat="1" ht="31.5" customHeight="1" x14ac:dyDescent="0.3">
      <c r="A104" s="133"/>
      <c r="B104" s="48" t="s">
        <v>70</v>
      </c>
      <c r="C104" s="45"/>
      <c r="D104" s="46">
        <f>D105+D106</f>
        <v>133380.20000000001</v>
      </c>
      <c r="E104" s="46">
        <f t="shared" ref="E104" si="149">E105+E106</f>
        <v>961678.05499999993</v>
      </c>
      <c r="F104" s="46">
        <f t="shared" si="137"/>
        <v>598656.97</v>
      </c>
      <c r="G104" s="46">
        <f t="shared" ref="G104:N104" si="150">G105+G106</f>
        <v>59687.450000000004</v>
      </c>
      <c r="H104" s="46">
        <f t="shared" ref="H104:M104" si="151">H105+H106</f>
        <v>59884.137000000002</v>
      </c>
      <c r="I104" s="46">
        <f t="shared" ref="I104:L104" si="152">I105+I106</f>
        <v>62152.964</v>
      </c>
      <c r="J104" s="46">
        <f t="shared" si="152"/>
        <v>94435.489999999991</v>
      </c>
      <c r="K104" s="46">
        <f t="shared" si="152"/>
        <v>76759.623999999996</v>
      </c>
      <c r="L104" s="46">
        <f t="shared" si="152"/>
        <v>153790.08500000002</v>
      </c>
      <c r="M104" s="46">
        <f t="shared" si="151"/>
        <v>91947.22</v>
      </c>
      <c r="N104" s="46">
        <f t="shared" si="150"/>
        <v>693970.47899999993</v>
      </c>
      <c r="O104" s="73">
        <f>F104-N104</f>
        <v>-95313.508999999962</v>
      </c>
      <c r="P104" s="74">
        <f>F104/N104*100</f>
        <v>86.265480753973108</v>
      </c>
      <c r="Q104" s="46">
        <f t="shared" ref="Q104" si="153">Q105+Q106</f>
        <v>693970.47899999993</v>
      </c>
      <c r="R104" s="73">
        <f>F104-Q104</f>
        <v>-95313.508999999962</v>
      </c>
      <c r="S104" s="74">
        <f>F104/Q104*100</f>
        <v>86.265480753973108</v>
      </c>
      <c r="T104" s="74">
        <f t="shared" si="139"/>
        <v>62.251287412397069</v>
      </c>
      <c r="U104" s="46">
        <f t="shared" ref="U104" si="154">U105+U106</f>
        <v>522180.03499999997</v>
      </c>
      <c r="V104" s="73">
        <f>F104-U104</f>
        <v>76476.934999999998</v>
      </c>
      <c r="W104" s="74">
        <f>F104/U104*100</f>
        <v>114.64570260714775</v>
      </c>
    </row>
    <row r="105" spans="1:25" s="136" customFormat="1" ht="31.5" customHeight="1" x14ac:dyDescent="0.35">
      <c r="A105" s="134"/>
      <c r="B105" s="135" t="s">
        <v>97</v>
      </c>
      <c r="C105" s="135"/>
      <c r="D105" s="108">
        <f>D73+D95</f>
        <v>129236.2</v>
      </c>
      <c r="E105" s="108">
        <f>E73+E95</f>
        <v>872748.89999999991</v>
      </c>
      <c r="F105" s="108">
        <f t="shared" si="137"/>
        <v>518291.40000000008</v>
      </c>
      <c r="G105" s="108">
        <f t="shared" ref="G105:N105" si="155">G73+G95</f>
        <v>58102.400000000001</v>
      </c>
      <c r="H105" s="108">
        <f t="shared" si="155"/>
        <v>58123.4</v>
      </c>
      <c r="I105" s="108">
        <f t="shared" si="155"/>
        <v>58121.9</v>
      </c>
      <c r="J105" s="108">
        <f t="shared" si="155"/>
        <v>92111.7</v>
      </c>
      <c r="K105" s="108">
        <f t="shared" si="155"/>
        <v>74506.399999999994</v>
      </c>
      <c r="L105" s="108">
        <f t="shared" si="155"/>
        <v>149014.70000000001</v>
      </c>
      <c r="M105" s="108">
        <f t="shared" si="155"/>
        <v>28310.9</v>
      </c>
      <c r="N105" s="108">
        <f t="shared" si="155"/>
        <v>613527.6</v>
      </c>
      <c r="O105" s="105">
        <f>F105-N105</f>
        <v>-95236.199999999895</v>
      </c>
      <c r="P105" s="106">
        <f>F105/N105*100</f>
        <v>84.477275349959825</v>
      </c>
      <c r="Q105" s="108">
        <f>Q73+Q95</f>
        <v>613527.6</v>
      </c>
      <c r="R105" s="105">
        <f>F105-Q105</f>
        <v>-95236.199999999895</v>
      </c>
      <c r="S105" s="106">
        <f>F105/Q105*100</f>
        <v>84.477275349959825</v>
      </c>
      <c r="T105" s="106">
        <f t="shared" si="139"/>
        <v>59.386084588591302</v>
      </c>
      <c r="U105" s="108">
        <f>U73+U95</f>
        <v>509644.5</v>
      </c>
      <c r="V105" s="105">
        <f>F105-U105</f>
        <v>8646.9000000000815</v>
      </c>
      <c r="W105" s="106">
        <f>F105/U105*100</f>
        <v>101.69665325535742</v>
      </c>
    </row>
    <row r="106" spans="1:25" s="136" customFormat="1" ht="31.5" customHeight="1" x14ac:dyDescent="0.35">
      <c r="A106" s="134"/>
      <c r="B106" s="135" t="s">
        <v>96</v>
      </c>
      <c r="C106" s="135"/>
      <c r="D106" s="108">
        <f>D96+D74</f>
        <v>4144</v>
      </c>
      <c r="E106" s="108">
        <f>E96+E74</f>
        <v>88929.154999999999</v>
      </c>
      <c r="F106" s="108">
        <f t="shared" si="137"/>
        <v>80365.570000000007</v>
      </c>
      <c r="G106" s="108">
        <f t="shared" ref="G106:N106" si="156">G96+G74</f>
        <v>1585.05</v>
      </c>
      <c r="H106" s="108">
        <f t="shared" si="156"/>
        <v>1760.7369999999999</v>
      </c>
      <c r="I106" s="108">
        <f t="shared" si="156"/>
        <v>4031.0639999999999</v>
      </c>
      <c r="J106" s="108">
        <f t="shared" si="156"/>
        <v>2323.7900000000004</v>
      </c>
      <c r="K106" s="108">
        <f t="shared" si="156"/>
        <v>2253.2240000000002</v>
      </c>
      <c r="L106" s="108">
        <f t="shared" si="156"/>
        <v>4775.3850000000002</v>
      </c>
      <c r="M106" s="108">
        <f t="shared" si="156"/>
        <v>63636.32</v>
      </c>
      <c r="N106" s="108">
        <f t="shared" si="156"/>
        <v>80442.879000000001</v>
      </c>
      <c r="O106" s="105">
        <f>F106-N106</f>
        <v>-77.30899999999383</v>
      </c>
      <c r="P106" s="106">
        <f>F106/N106*100</f>
        <v>99.903895781750933</v>
      </c>
      <c r="Q106" s="108">
        <f>Q96+Q74</f>
        <v>80442.879000000001</v>
      </c>
      <c r="R106" s="105">
        <f>F106-Q106</f>
        <v>-77.30899999999383</v>
      </c>
      <c r="S106" s="106">
        <f>F106/Q106*100</f>
        <v>99.903895781750933</v>
      </c>
      <c r="T106" s="106">
        <f t="shared" si="139"/>
        <v>90.370329055752308</v>
      </c>
      <c r="U106" s="108">
        <f>U96+U74</f>
        <v>12535.535</v>
      </c>
      <c r="V106" s="105">
        <f>F106-U106</f>
        <v>67830.035000000003</v>
      </c>
      <c r="W106" s="106">
        <f>F106/U106*100</f>
        <v>641.10203513451961</v>
      </c>
    </row>
    <row r="107" spans="1:25" s="8" customFormat="1" ht="23.25" x14ac:dyDescent="0.25">
      <c r="A107" s="28"/>
      <c r="B107" s="41"/>
      <c r="C107" s="17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5"/>
      <c r="P107" s="106"/>
      <c r="Q107" s="108"/>
      <c r="R107" s="105"/>
      <c r="S107" s="106"/>
      <c r="T107" s="106"/>
      <c r="U107" s="108"/>
      <c r="V107" s="105"/>
      <c r="W107" s="106"/>
    </row>
    <row r="108" spans="1:25" s="124" customFormat="1" ht="54" customHeight="1" x14ac:dyDescent="0.3">
      <c r="A108" s="130"/>
      <c r="B108" s="173" t="s">
        <v>124</v>
      </c>
      <c r="C108" s="125"/>
      <c r="D108" s="126">
        <f>D99+D101</f>
        <v>5189646.6890000002</v>
      </c>
      <c r="E108" s="126">
        <f>E99+E101</f>
        <v>6790077.3429999994</v>
      </c>
      <c r="F108" s="126">
        <f t="shared" si="137"/>
        <v>3836475.5020000003</v>
      </c>
      <c r="G108" s="126">
        <f t="shared" ref="G108:N108" si="157">G99+G101</f>
        <v>485522.424</v>
      </c>
      <c r="H108" s="126">
        <f t="shared" si="157"/>
        <v>512610.64199999999</v>
      </c>
      <c r="I108" s="126">
        <f t="shared" si="157"/>
        <v>493107.89099999989</v>
      </c>
      <c r="J108" s="126">
        <f t="shared" si="157"/>
        <v>566445.8949999999</v>
      </c>
      <c r="K108" s="126">
        <f t="shared" si="157"/>
        <v>551278.67800000007</v>
      </c>
      <c r="L108" s="126">
        <f t="shared" si="157"/>
        <v>633501.84800000011</v>
      </c>
      <c r="M108" s="126">
        <f t="shared" si="157"/>
        <v>594008.12400000007</v>
      </c>
      <c r="N108" s="126">
        <f t="shared" si="157"/>
        <v>2993921.561999999</v>
      </c>
      <c r="O108" s="127">
        <f>F108-N108</f>
        <v>842553.94000000134</v>
      </c>
      <c r="P108" s="128">
        <f>F108/N108*100</f>
        <v>128.14215144090676</v>
      </c>
      <c r="Q108" s="126">
        <f>Q97+Q76</f>
        <v>4095203.7903333339</v>
      </c>
      <c r="R108" s="127">
        <f>F108-Q108</f>
        <v>-258728.28833333356</v>
      </c>
      <c r="S108" s="128">
        <f>F108/Q108*100</f>
        <v>93.682163291993973</v>
      </c>
      <c r="T108" s="128">
        <f t="shared" si="139"/>
        <v>56.501204746291812</v>
      </c>
      <c r="U108" s="126">
        <f>U99+U101</f>
        <v>3151297.5520000006</v>
      </c>
      <c r="V108" s="127">
        <f>F108-U108</f>
        <v>685177.94999999972</v>
      </c>
      <c r="W108" s="128">
        <f>F108/U108*100</f>
        <v>121.74272466162851</v>
      </c>
      <c r="X108" s="122">
        <v>3151297.5520000006</v>
      </c>
      <c r="Y108" s="122">
        <f>X108-U108</f>
        <v>0</v>
      </c>
    </row>
    <row r="109" spans="1:25" s="15" customFormat="1" ht="3.75" customHeight="1" x14ac:dyDescent="0.3">
      <c r="A109" s="34"/>
      <c r="B109" s="35"/>
      <c r="C109" s="36"/>
      <c r="D109" s="36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75"/>
      <c r="P109" s="76"/>
      <c r="Q109" s="37"/>
      <c r="R109" s="75"/>
      <c r="S109" s="76"/>
      <c r="T109" s="76"/>
      <c r="U109" s="37"/>
      <c r="V109" s="75"/>
      <c r="W109" s="76"/>
    </row>
    <row r="110" spans="1:25" s="15" customFormat="1" ht="89.25" customHeight="1" x14ac:dyDescent="0.4">
      <c r="A110" s="34"/>
      <c r="B110" s="22" t="s">
        <v>209</v>
      </c>
      <c r="C110" s="22"/>
      <c r="D110" s="22"/>
      <c r="E110" s="22"/>
      <c r="F110" s="22" t="s">
        <v>210</v>
      </c>
      <c r="G110" s="22"/>
      <c r="H110" s="22"/>
      <c r="I110" s="22"/>
      <c r="J110" s="22"/>
      <c r="K110" s="22"/>
      <c r="L110" s="22"/>
      <c r="M110" s="22"/>
      <c r="N110" s="37"/>
      <c r="O110" s="75"/>
      <c r="P110" s="76"/>
      <c r="Q110" s="37"/>
      <c r="R110" s="75"/>
      <c r="S110" s="76"/>
      <c r="T110" s="76"/>
      <c r="U110" s="22"/>
      <c r="V110" s="75"/>
      <c r="W110" s="76"/>
    </row>
    <row r="111" spans="1:25" s="8" customFormat="1" ht="18" customHeight="1" x14ac:dyDescent="0.45">
      <c r="A111" s="6"/>
      <c r="B111" s="31" t="s">
        <v>52</v>
      </c>
      <c r="C111" s="19"/>
      <c r="D111" s="19"/>
      <c r="E111" s="19"/>
      <c r="F111" s="21"/>
      <c r="G111" s="21"/>
      <c r="H111" s="21"/>
      <c r="I111" s="21"/>
      <c r="J111" s="21"/>
      <c r="K111" s="21"/>
      <c r="L111" s="21"/>
      <c r="M111" s="21"/>
      <c r="N111" s="7"/>
      <c r="O111" s="77"/>
      <c r="P111" s="78"/>
      <c r="Q111" s="7"/>
      <c r="R111" s="77"/>
      <c r="S111" s="78"/>
      <c r="T111" s="78"/>
      <c r="U111" s="21"/>
      <c r="V111" s="77"/>
      <c r="W111" s="78"/>
    </row>
    <row r="112" spans="1:25" s="8" customFormat="1" ht="30.75" x14ac:dyDescent="0.45">
      <c r="A112" s="6"/>
      <c r="B112" s="19"/>
      <c r="C112" s="19"/>
      <c r="D112" s="19"/>
      <c r="E112" s="116"/>
      <c r="F112" s="21"/>
      <c r="G112" s="21"/>
      <c r="H112" s="21"/>
      <c r="I112" s="21"/>
      <c r="J112" s="21"/>
      <c r="K112" s="21"/>
      <c r="L112" s="21"/>
      <c r="M112" s="21"/>
      <c r="N112" s="7"/>
      <c r="O112" s="77"/>
      <c r="P112" s="78"/>
      <c r="Q112" s="7"/>
      <c r="R112" s="77"/>
      <c r="S112" s="78"/>
      <c r="T112" s="78"/>
      <c r="U112" s="21"/>
      <c r="V112" s="77"/>
      <c r="W112" s="78"/>
    </row>
    <row r="113" spans="1:48" s="4" customFormat="1" ht="30.75" hidden="1" x14ac:dyDescent="0.45">
      <c r="A113" s="29"/>
      <c r="B113" s="19"/>
      <c r="C113" s="19"/>
      <c r="D113" s="94">
        <v>5189646.6890000002</v>
      </c>
      <c r="E113" s="94">
        <v>6790077.3430000003</v>
      </c>
      <c r="F113" s="94">
        <v>3836475.5019999999</v>
      </c>
      <c r="G113" s="95"/>
      <c r="H113" s="95"/>
      <c r="I113" s="95"/>
      <c r="J113" s="95"/>
      <c r="K113" s="95"/>
      <c r="L113" s="95"/>
      <c r="M113" s="95"/>
      <c r="N113" s="94">
        <v>2993921.5619999999</v>
      </c>
      <c r="O113" s="5"/>
      <c r="P113" s="5"/>
      <c r="Q113" s="22"/>
      <c r="R113" s="5"/>
      <c r="S113" s="5"/>
      <c r="T113" s="5"/>
      <c r="U113" s="94"/>
      <c r="V113" s="5"/>
    </row>
    <row r="114" spans="1:48" ht="12" hidden="1" customHeight="1" x14ac:dyDescent="0.45">
      <c r="B114" s="3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U114" s="21"/>
    </row>
    <row r="115" spans="1:48" s="2" customFormat="1" ht="30.75" hidden="1" customHeight="1" x14ac:dyDescent="0.45">
      <c r="A115" s="30"/>
      <c r="B115" s="19"/>
      <c r="C115" s="19"/>
      <c r="D115" s="19"/>
      <c r="E115" s="19"/>
      <c r="F115" s="21"/>
      <c r="G115" s="21"/>
      <c r="H115" s="21"/>
      <c r="I115" s="21"/>
      <c r="J115" s="21"/>
      <c r="K115" s="21"/>
      <c r="L115" s="21"/>
      <c r="M115" s="21"/>
      <c r="O115" s="145"/>
      <c r="P115" s="145"/>
      <c r="Q115" s="145"/>
      <c r="R115" s="145"/>
      <c r="S115" s="145"/>
      <c r="T115" s="145"/>
      <c r="U115" s="21"/>
      <c r="V115" s="145"/>
    </row>
    <row r="116" spans="1:48" s="2" customFormat="1" ht="30.75" hidden="1" customHeight="1" x14ac:dyDescent="0.45">
      <c r="A116" s="30"/>
      <c r="B116" s="19"/>
      <c r="C116" s="19"/>
      <c r="D116" s="19"/>
      <c r="E116" s="19"/>
      <c r="F116" s="21"/>
      <c r="G116" s="21"/>
      <c r="H116" s="21"/>
      <c r="I116" s="21"/>
      <c r="J116" s="21"/>
      <c r="K116" s="21"/>
      <c r="L116" s="21"/>
      <c r="M116" s="21"/>
      <c r="O116" s="145"/>
      <c r="P116" s="145"/>
      <c r="Q116" s="145"/>
      <c r="R116" s="145"/>
      <c r="S116" s="145"/>
      <c r="T116" s="145"/>
      <c r="U116" s="21"/>
      <c r="V116" s="145"/>
    </row>
    <row r="117" spans="1:48" s="2" customFormat="1" ht="16.5" hidden="1" customHeight="1" x14ac:dyDescent="0.45">
      <c r="A117" s="30"/>
      <c r="B117" s="3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O117" s="145"/>
      <c r="P117" s="145"/>
      <c r="Q117" s="145"/>
      <c r="R117" s="145"/>
      <c r="S117" s="145"/>
      <c r="T117" s="145"/>
      <c r="U117" s="21"/>
      <c r="V117" s="145"/>
    </row>
    <row r="118" spans="1:48" ht="18.75" hidden="1" x14ac:dyDescent="0.3">
      <c r="B118" s="29"/>
      <c r="D118" s="94">
        <f>D113-D108</f>
        <v>0</v>
      </c>
      <c r="E118" s="94">
        <f>E113-E108</f>
        <v>0</v>
      </c>
      <c r="F118" s="94">
        <f>F113-F108</f>
        <v>0</v>
      </c>
      <c r="N118" s="94">
        <f>N113-N108</f>
        <v>0</v>
      </c>
      <c r="O118" s="165" t="s">
        <v>49</v>
      </c>
      <c r="P118" s="159"/>
      <c r="Q118" s="80">
        <f>E50/12*7</f>
        <v>3304776.708333333</v>
      </c>
      <c r="U118" s="94"/>
    </row>
    <row r="119" spans="1:48" ht="18.75" hidden="1" x14ac:dyDescent="0.3">
      <c r="B119" s="29"/>
      <c r="D119" s="94"/>
      <c r="E119" s="94"/>
      <c r="F119" s="94"/>
      <c r="N119" s="96"/>
      <c r="O119" s="145"/>
      <c r="P119" s="145"/>
      <c r="Q119" s="80">
        <f>Q118-Q50</f>
        <v>0</v>
      </c>
    </row>
    <row r="120" spans="1:48" ht="18.75" hidden="1" customHeight="1" x14ac:dyDescent="0.3">
      <c r="B120" s="4"/>
      <c r="C120" s="3"/>
      <c r="D120" s="3"/>
      <c r="E120" s="95"/>
      <c r="F120" s="95"/>
      <c r="O120" s="158" t="s">
        <v>50</v>
      </c>
      <c r="P120" s="159"/>
      <c r="Q120" s="79">
        <f>E92/12*7</f>
        <v>86841.418999999994</v>
      </c>
      <c r="U120" s="95"/>
    </row>
    <row r="121" spans="1:48" ht="18.75" hidden="1" x14ac:dyDescent="0.3">
      <c r="B121" s="4"/>
      <c r="C121" s="3"/>
      <c r="D121" s="3"/>
      <c r="E121" s="3"/>
      <c r="O121" s="145"/>
      <c r="P121" s="145"/>
      <c r="Q121" s="80">
        <f>Q120-Q92</f>
        <v>0</v>
      </c>
    </row>
    <row r="122" spans="1:48" ht="22.5" hidden="1" x14ac:dyDescent="0.3">
      <c r="B122" s="4"/>
      <c r="C122" s="3"/>
      <c r="D122" s="3"/>
      <c r="E122" s="117"/>
      <c r="F122" s="117"/>
      <c r="O122" s="158" t="s">
        <v>51</v>
      </c>
      <c r="P122" s="159"/>
      <c r="Q122" s="80">
        <f>Q120+Q94</f>
        <v>216077.61900000001</v>
      </c>
      <c r="U122" s="117"/>
    </row>
    <row r="123" spans="1:48" ht="18.75" hidden="1" x14ac:dyDescent="0.3">
      <c r="B123" s="4"/>
      <c r="C123" s="3"/>
      <c r="D123" s="3"/>
      <c r="E123" s="3"/>
      <c r="O123" s="145"/>
      <c r="P123" s="145"/>
      <c r="Q123" s="80">
        <f>Q122-Q97</f>
        <v>0</v>
      </c>
    </row>
    <row r="124" spans="1:48" ht="18.75" hidden="1" x14ac:dyDescent="0.3">
      <c r="B124" s="4"/>
      <c r="C124" s="3"/>
      <c r="D124" s="3"/>
      <c r="E124" s="3"/>
    </row>
    <row r="125" spans="1:48" ht="18.75" hidden="1" x14ac:dyDescent="0.3">
      <c r="B125" s="118"/>
      <c r="C125" s="3"/>
      <c r="D125" s="3"/>
      <c r="E125" s="3"/>
    </row>
    <row r="126" spans="1:48" ht="18.75" hidden="1" x14ac:dyDescent="0.3">
      <c r="B126" s="4"/>
      <c r="C126" s="3"/>
      <c r="D126" s="3"/>
      <c r="E126" s="3"/>
    </row>
    <row r="127" spans="1:48" s="20" customFormat="1" ht="18.75" x14ac:dyDescent="0.3">
      <c r="B127" s="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1"/>
      <c r="P127" s="1"/>
      <c r="Q127" s="1"/>
      <c r="R127" s="1"/>
      <c r="S127" s="1"/>
      <c r="T127" s="1"/>
      <c r="U127" s="3"/>
      <c r="V127" s="1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</row>
    <row r="128" spans="1:48" s="20" customFormat="1" ht="18.75" x14ac:dyDescent="0.3">
      <c r="B128" s="4"/>
      <c r="C128" s="3"/>
      <c r="D128" s="3"/>
      <c r="E128" s="95"/>
      <c r="F128" s="95"/>
      <c r="G128" s="3"/>
      <c r="H128" s="3"/>
      <c r="I128" s="3"/>
      <c r="J128" s="3"/>
      <c r="K128" s="3"/>
      <c r="L128" s="3"/>
      <c r="M128" s="3"/>
      <c r="N128" s="3"/>
      <c r="O128" s="1"/>
      <c r="P128" s="1"/>
      <c r="Q128" s="1"/>
      <c r="R128" s="1"/>
      <c r="S128" s="1"/>
      <c r="T128" s="1"/>
      <c r="U128" s="95"/>
      <c r="V128" s="1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</row>
    <row r="129" spans="2:48" s="20" customFormat="1" ht="18.75" x14ac:dyDescent="0.3">
      <c r="B129" s="4"/>
      <c r="C129" s="3"/>
      <c r="D129" s="17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1"/>
      <c r="P129" s="1"/>
      <c r="Q129" s="1"/>
      <c r="R129" s="1"/>
      <c r="S129" s="1"/>
      <c r="T129" s="1"/>
      <c r="U129" s="3"/>
      <c r="V129" s="1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</row>
    <row r="130" spans="2:48" s="20" customFormat="1" ht="18.75" x14ac:dyDescent="0.3">
      <c r="B130" s="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1"/>
      <c r="P130" s="1"/>
      <c r="Q130" s="1"/>
      <c r="R130" s="1"/>
      <c r="S130" s="1"/>
      <c r="T130" s="1"/>
      <c r="U130" s="3"/>
      <c r="V130" s="1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</row>
    <row r="131" spans="2:48" s="20" customFormat="1" ht="22.5" x14ac:dyDescent="0.3">
      <c r="B131" s="4"/>
      <c r="C131" s="3"/>
      <c r="D131" s="117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1"/>
      <c r="P131" s="1"/>
      <c r="Q131" s="1"/>
      <c r="R131" s="1"/>
      <c r="S131" s="1"/>
      <c r="T131" s="1"/>
      <c r="U131" s="3"/>
      <c r="V131" s="1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</row>
    <row r="132" spans="2:48" s="20" customFormat="1" ht="18.75" x14ac:dyDescent="0.3">
      <c r="B132" s="4"/>
      <c r="C132" s="3"/>
      <c r="D132" s="3"/>
      <c r="E132" s="3"/>
      <c r="F132" s="95"/>
      <c r="G132" s="3"/>
      <c r="H132" s="3"/>
      <c r="I132" s="3"/>
      <c r="J132" s="3"/>
      <c r="K132" s="3"/>
      <c r="L132" s="3"/>
      <c r="M132" s="3"/>
      <c r="N132" s="3"/>
      <c r="O132" s="1"/>
      <c r="P132" s="1"/>
      <c r="Q132" s="1"/>
      <c r="R132" s="1"/>
      <c r="S132" s="1"/>
      <c r="T132" s="1"/>
      <c r="U132" s="95"/>
      <c r="V132" s="1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</row>
    <row r="133" spans="2:48" s="20" customFormat="1" ht="18.75" x14ac:dyDescent="0.3"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1"/>
      <c r="P133" s="1"/>
      <c r="Q133" s="1"/>
      <c r="R133" s="1"/>
      <c r="S133" s="1"/>
      <c r="T133" s="1"/>
      <c r="U133" s="3"/>
      <c r="V133" s="1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</row>
    <row r="134" spans="2:48" s="20" customFormat="1" ht="18.75" x14ac:dyDescent="0.3"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1"/>
      <c r="P134" s="1"/>
      <c r="Q134" s="1"/>
      <c r="R134" s="1"/>
      <c r="S134" s="1"/>
      <c r="T134" s="1"/>
      <c r="U134" s="3"/>
      <c r="V134" s="1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</row>
    <row r="135" spans="2:48" s="20" customFormat="1" ht="18.75" x14ac:dyDescent="0.3">
      <c r="B135" s="29"/>
      <c r="F135" s="3"/>
      <c r="G135" s="3"/>
      <c r="H135" s="3"/>
      <c r="I135" s="3"/>
      <c r="J135" s="3"/>
      <c r="K135" s="3"/>
      <c r="L135" s="3"/>
      <c r="M135" s="3"/>
      <c r="N135" s="3"/>
      <c r="O135" s="1"/>
      <c r="P135" s="1"/>
      <c r="Q135" s="1"/>
      <c r="R135" s="1"/>
      <c r="S135" s="1"/>
      <c r="T135" s="1"/>
      <c r="U135" s="3"/>
      <c r="V135" s="1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</row>
    <row r="136" spans="2:48" s="20" customFormat="1" ht="18.75" x14ac:dyDescent="0.3">
      <c r="B136" s="29"/>
      <c r="F136" s="3"/>
      <c r="G136" s="3"/>
      <c r="H136" s="3"/>
      <c r="I136" s="3"/>
      <c r="J136" s="3"/>
      <c r="K136" s="3"/>
      <c r="L136" s="3"/>
      <c r="M136" s="3"/>
      <c r="N136" s="3"/>
      <c r="O136" s="1"/>
      <c r="P136" s="1"/>
      <c r="Q136" s="1"/>
      <c r="R136" s="1"/>
      <c r="S136" s="1"/>
      <c r="T136" s="1"/>
      <c r="U136" s="3"/>
      <c r="V136" s="1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</row>
  </sheetData>
  <mergeCells count="32">
    <mergeCell ref="O122:P122"/>
    <mergeCell ref="C23:C25"/>
    <mergeCell ref="O118:P118"/>
    <mergeCell ref="W3:W4"/>
    <mergeCell ref="N3:N4"/>
    <mergeCell ref="O3:O4"/>
    <mergeCell ref="Q3:Q4"/>
    <mergeCell ref="R3:R4"/>
    <mergeCell ref="S3:S4"/>
    <mergeCell ref="T3:T4"/>
    <mergeCell ref="U3:U4"/>
    <mergeCell ref="V3:V4"/>
    <mergeCell ref="G3:G4"/>
    <mergeCell ref="F3:F4"/>
    <mergeCell ref="P3:P4"/>
    <mergeCell ref="C3:C4"/>
    <mergeCell ref="A1:W1"/>
    <mergeCell ref="A6:W6"/>
    <mergeCell ref="A77:W77"/>
    <mergeCell ref="A98:W98"/>
    <mergeCell ref="O120:P120"/>
    <mergeCell ref="A3:A4"/>
    <mergeCell ref="B3:B4"/>
    <mergeCell ref="D3:D4"/>
    <mergeCell ref="E3:E4"/>
    <mergeCell ref="M3:M4"/>
    <mergeCell ref="H3:H4"/>
    <mergeCell ref="I3:I4"/>
    <mergeCell ref="J3:J4"/>
    <mergeCell ref="C15:C17"/>
    <mergeCell ref="K3:K4"/>
    <mergeCell ref="L3:L4"/>
  </mergeCells>
  <printOptions horizontalCentered="1"/>
  <pageMargins left="0.39370078740157483" right="0" top="0" bottom="0" header="0.23622047244094491" footer="0.11811023622047245"/>
  <pageSetup paperSize="8" scale="60" fitToHeight="6" orientation="landscape" horizontalDpi="300" verticalDpi="300" r:id="rId1"/>
  <headerFooter alignWithMargins="0"/>
  <rowBreaks count="1" manualBreakCount="1">
    <brk id="76" max="2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</vt:lpstr>
      <vt:lpstr>'2023'!Заголовки_для_печати</vt:lpstr>
      <vt:lpstr>'2023'!Область_печати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2023-08-01T08:29:59Z</cp:lastPrinted>
  <dcterms:created xsi:type="dcterms:W3CDTF">1996-10-08T23:32:33Z</dcterms:created>
  <dcterms:modified xsi:type="dcterms:W3CDTF">2023-08-07T06:21:35Z</dcterms:modified>
</cp:coreProperties>
</file>